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AWG\2021 allocation\"/>
    </mc:Choice>
  </mc:AlternateContent>
  <bookViews>
    <workbookView xWindow="1095" yWindow="1080" windowWidth="16230" windowHeight="6045" tabRatio="799" activeTab="6"/>
  </bookViews>
  <sheets>
    <sheet name="Weights" sheetId="15" r:id="rId1"/>
    <sheet name="Courses" sheetId="16" r:id="rId2"/>
    <sheet name="Teaching Allocations" sheetId="18" r:id="rId3"/>
    <sheet name="Supervision" sheetId="7" r:id="rId4"/>
    <sheet name="Thesis Marking" sheetId="8" r:id="rId5"/>
    <sheet name="Service Allocations" sheetId="9" r:id="rId6"/>
    <sheet name="Workloads" sheetId="10" r:id="rId7"/>
  </sheets>
  <externalReferences>
    <externalReference r:id="rId8"/>
  </externalReferences>
  <definedNames>
    <definedName name="_xlnm._FilterDatabase" localSheetId="1" hidden="1">Courses!$A$1:$P$151</definedName>
    <definedName name="_xlnm._FilterDatabase" localSheetId="5" hidden="1">'Service Allocations'!$A$1:$F$57</definedName>
    <definedName name="_xlnm._FilterDatabase" localSheetId="3" hidden="1">Supervision!$A$1:$N$131</definedName>
    <definedName name="_xlnm._FilterDatabase" localSheetId="2" hidden="1">'Teaching Allocations'!$A$1:$AL$152</definedName>
    <definedName name="_xlnm._FilterDatabase" localSheetId="4" hidden="1">'Thesis Marking'!$A$1:$D$1</definedName>
    <definedName name="_xlnm._FilterDatabase" localSheetId="0" hidden="1">Weights!$A$1:$H$1</definedName>
    <definedName name="_xlnm._FilterDatabase" localSheetId="6" hidden="1">Workloads!$A$1:$AL$1</definedName>
    <definedName name="EBTF1_lb">Weights!$D$116</definedName>
    <definedName name="EBTF1_ub">Weights!$E$116</definedName>
    <definedName name="EBTFP_lb">Weights!$D$119</definedName>
    <definedName name="EBTFP_ub">Weights!$E$119</definedName>
    <definedName name="EBTR1_lb">Weights!$D$110</definedName>
    <definedName name="EBTR1_ub">Weights!$E$110</definedName>
    <definedName name="EBTRP_lb">Weights!$D$113</definedName>
    <definedName name="EBTRP_ub">Weights!$E$113</definedName>
    <definedName name="ECDTRP_lb">Weights!$D$122</definedName>
    <definedName name="ECDTRP_ub">Weights!$E$122</definedName>
    <definedName name="ETF_lb">Weights!$D$107</definedName>
    <definedName name="ETF_ub">Weights!$E$107</definedName>
    <definedName name="ETR_lb">Weights!$D$104</definedName>
    <definedName name="ETR_ub">Weights!$E$104</definedName>
    <definedName name="hlP">[1]Weights!$D$100</definedName>
    <definedName name="Lcap">Weights!$D$96</definedName>
    <definedName name="maxCACH">Weights!$D$102</definedName>
    <definedName name="maxCCH">Weights!$D$99</definedName>
    <definedName name="maxCMH">Weights!$D$101</definedName>
    <definedName name="maxTCH">Weights!$D$100</definedName>
    <definedName name="RBTR1_lb">Weights!$D$111</definedName>
    <definedName name="RBTR1_ub">Weights!$E$111</definedName>
    <definedName name="RBTRP_lb">Weights!$D$114</definedName>
    <definedName name="RBTRP_ub">Weights!$E$114</definedName>
    <definedName name="RCDTRP_lb">Weights!$D$123</definedName>
    <definedName name="RCDTRP_ub">Weights!$E$123</definedName>
    <definedName name="RTR_lb">Weights!$D$105</definedName>
    <definedName name="RTR_ub">Weights!$E$105</definedName>
    <definedName name="SBTF1_lb">Weights!$D$118</definedName>
    <definedName name="SBTF1_ub">Weights!$E$118</definedName>
    <definedName name="SBTFP_lb">Weights!$D$121</definedName>
    <definedName name="SBTFP_ub">Weights!$E$121</definedName>
    <definedName name="SBTR1_lb">Weights!$D$112</definedName>
    <definedName name="SBTR1_ub">Weights!$E$112</definedName>
    <definedName name="SBTRP_lb">Weights!$D$115</definedName>
    <definedName name="SBTRP_ub">Weights!$E$115</definedName>
    <definedName name="SCDTRP_lb">Weights!$D$124</definedName>
    <definedName name="SCDTRP_ub">Weights!$E$124</definedName>
    <definedName name="STF_lb">Weights!$D$109</definedName>
    <definedName name="STF_ub">Weights!$E$109</definedName>
    <definedName name="STLBTF1_lb">Weights!$D$117</definedName>
    <definedName name="STLBTF1_ub">Weights!$E$117</definedName>
    <definedName name="STLBTFP_lb">Weights!$D$120</definedName>
    <definedName name="STLBTFP_ub">Weights!$E$120</definedName>
    <definedName name="STLTF_lb">Weights!$D$108</definedName>
    <definedName name="STLTF_ub">Weights!$E$108</definedName>
    <definedName name="STR_lb">Weights!$D$106</definedName>
    <definedName name="STR_ub">Weights!$E$106</definedName>
    <definedName name="Tcap">Weights!$D$97</definedName>
    <definedName name="wAPH1">Weights!$D$82</definedName>
    <definedName name="wAPH2">Weights!$D$83</definedName>
    <definedName name="wAPH3">Weights!$D$84</definedName>
    <definedName name="wCACH1">Weights!$D$86</definedName>
    <definedName name="wCACH2">Weights!$D$87</definedName>
    <definedName name="wCACH3">Weights!$D$88</definedName>
    <definedName name="wCCH1">Weights!$D$68</definedName>
    <definedName name="wCCH2">Weights!$D$69</definedName>
    <definedName name="wCCH3">Weights!$D$70</definedName>
    <definedName name="wCCH4">Weights!$D$71</definedName>
    <definedName name="wCMH">Weights!$D$85</definedName>
    <definedName name="wGC">Weights!$D$94</definedName>
    <definedName name="wHT">Weights!$D$92</definedName>
    <definedName name="wMT">Weights!$D$91</definedName>
    <definedName name="wOLH1">Weights!$D$76</definedName>
    <definedName name="wOLH2">Weights!$D$77</definedName>
    <definedName name="wOLH3">Weights!$D$78</definedName>
    <definedName name="wOTH">Weights!$D$80</definedName>
    <definedName name="wPC">Weights!$D$89</definedName>
    <definedName name="wPT">Weights!$D$90</definedName>
    <definedName name="wRLH">Weights!$D$79</definedName>
    <definedName name="wRTH">Weights!$D$81</definedName>
    <definedName name="wTCH1">Weights!$D$68</definedName>
    <definedName name="wTCH2">Weights!$D$73</definedName>
    <definedName name="wTCH3">Weights!$D$74</definedName>
    <definedName name="wTCH4">Weights!$D$75</definedName>
    <definedName name="wTM">Weights!$D$93</definedName>
    <definedName name="x">[1]Weights!$D$71</definedName>
  </definedNames>
  <calcPr calcId="162913" iterate="1" iterateCount="4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16" l="1"/>
  <c r="V4" i="18"/>
  <c r="L51" i="7" l="1"/>
  <c r="M51" i="7" s="1"/>
  <c r="L50" i="7"/>
  <c r="M50" i="7" s="1"/>
  <c r="L56" i="7"/>
  <c r="M56" i="7" s="1"/>
  <c r="L10" i="7" l="1"/>
  <c r="M10" i="7" s="1"/>
  <c r="E34" i="9" l="1"/>
  <c r="F34" i="9" s="1"/>
  <c r="L44" i="7" l="1"/>
  <c r="M44" i="7" s="1"/>
  <c r="L45" i="7" l="1"/>
  <c r="M45" i="7" s="1"/>
  <c r="W6" i="18" l="1"/>
  <c r="V6" i="18"/>
  <c r="U6" i="18"/>
  <c r="Q6" i="18"/>
  <c r="A6" i="18"/>
  <c r="S6" i="18" l="1"/>
  <c r="W87" i="18"/>
  <c r="V87" i="18"/>
  <c r="U87" i="18"/>
  <c r="A87" i="18"/>
  <c r="W83" i="18"/>
  <c r="V83" i="18"/>
  <c r="U83" i="18"/>
  <c r="Q83" i="18"/>
  <c r="A83" i="18"/>
  <c r="P86" i="16"/>
  <c r="O86" i="16"/>
  <c r="N86" i="16"/>
  <c r="A86" i="16"/>
  <c r="A83" i="16"/>
  <c r="N83" i="16"/>
  <c r="O83" i="16"/>
  <c r="P83" i="16"/>
  <c r="P82" i="16"/>
  <c r="O82" i="16"/>
  <c r="N82" i="16"/>
  <c r="A82" i="16"/>
  <c r="S83" i="18" l="1"/>
  <c r="S87" i="18"/>
  <c r="Q87" i="18" l="1"/>
  <c r="A140" i="18" l="1"/>
  <c r="A2" i="16"/>
  <c r="A3" i="16"/>
  <c r="A4" i="16"/>
  <c r="A5" i="16"/>
  <c r="N2" i="16"/>
  <c r="O2" i="16"/>
  <c r="P2" i="16"/>
  <c r="N3" i="16"/>
  <c r="O3" i="16"/>
  <c r="P3" i="16"/>
  <c r="N4" i="16"/>
  <c r="O4" i="16"/>
  <c r="P4" i="16"/>
  <c r="N5" i="16"/>
  <c r="O5" i="16"/>
  <c r="P5" i="16"/>
  <c r="A6" i="16"/>
  <c r="N6" i="16"/>
  <c r="O6" i="16"/>
  <c r="P6" i="16"/>
  <c r="A7" i="16"/>
  <c r="N7" i="16"/>
  <c r="P7" i="16"/>
  <c r="A8" i="16"/>
  <c r="N8" i="16"/>
  <c r="O8" i="16"/>
  <c r="P8" i="16"/>
  <c r="A9" i="16"/>
  <c r="N9" i="16"/>
  <c r="O9" i="16"/>
  <c r="P9" i="16"/>
  <c r="A10" i="16"/>
  <c r="N10" i="16"/>
  <c r="O10" i="16"/>
  <c r="P10" i="16"/>
  <c r="A11" i="16"/>
  <c r="N11" i="16"/>
  <c r="O11" i="16"/>
  <c r="P11" i="16"/>
  <c r="A12" i="16"/>
  <c r="N12" i="16"/>
  <c r="O12" i="16"/>
  <c r="P12" i="16"/>
  <c r="A13" i="16"/>
  <c r="N13" i="16"/>
  <c r="O13" i="16"/>
  <c r="P13" i="16"/>
  <c r="A14" i="16"/>
  <c r="N14" i="16"/>
  <c r="O14" i="16"/>
  <c r="P14" i="16"/>
  <c r="A15" i="16"/>
  <c r="N15" i="16"/>
  <c r="O15" i="16"/>
  <c r="P15" i="16"/>
  <c r="A16" i="16"/>
  <c r="N16" i="16"/>
  <c r="O16" i="16"/>
  <c r="P16" i="16"/>
  <c r="A17" i="16"/>
  <c r="N17" i="16"/>
  <c r="O17" i="16"/>
  <c r="P17" i="16"/>
  <c r="A18" i="16"/>
  <c r="N18" i="16"/>
  <c r="O18" i="16"/>
  <c r="P18" i="16"/>
  <c r="A19" i="16"/>
  <c r="N19" i="16"/>
  <c r="O19" i="16"/>
  <c r="P19" i="16"/>
  <c r="A20" i="16"/>
  <c r="N20" i="16"/>
  <c r="O20" i="16"/>
  <c r="P20" i="16"/>
  <c r="A21" i="16"/>
  <c r="N21" i="16"/>
  <c r="O21" i="16"/>
  <c r="P21" i="16"/>
  <c r="A22" i="16"/>
  <c r="N22" i="16"/>
  <c r="O22" i="16"/>
  <c r="P22" i="16"/>
  <c r="A23" i="16"/>
  <c r="N23" i="16"/>
  <c r="O23" i="16"/>
  <c r="P23" i="16"/>
  <c r="A24" i="16"/>
  <c r="N24" i="16"/>
  <c r="O24" i="16"/>
  <c r="P24" i="16"/>
  <c r="A25" i="16"/>
  <c r="N25" i="16"/>
  <c r="O25" i="16"/>
  <c r="P25" i="16"/>
  <c r="A26" i="16"/>
  <c r="N26" i="16"/>
  <c r="O26" i="16"/>
  <c r="P26" i="16"/>
  <c r="A27" i="16"/>
  <c r="N27" i="16"/>
  <c r="O27" i="16"/>
  <c r="P27" i="16"/>
  <c r="A28" i="16"/>
  <c r="N28" i="16"/>
  <c r="O28" i="16"/>
  <c r="P28" i="16"/>
  <c r="A29" i="16"/>
  <c r="N29" i="16"/>
  <c r="O29" i="16"/>
  <c r="P29" i="16"/>
  <c r="A30" i="16"/>
  <c r="N30" i="16"/>
  <c r="O30" i="16"/>
  <c r="P30" i="16"/>
  <c r="A31" i="16"/>
  <c r="N31" i="16"/>
  <c r="O31" i="16"/>
  <c r="P31" i="16"/>
  <c r="A32" i="16"/>
  <c r="N32" i="16"/>
  <c r="O32" i="16"/>
  <c r="P32" i="16"/>
  <c r="A33" i="16"/>
  <c r="N33" i="16"/>
  <c r="O33" i="16"/>
  <c r="P33" i="16"/>
  <c r="A34" i="16"/>
  <c r="N34" i="16"/>
  <c r="O34" i="16"/>
  <c r="P34" i="16"/>
  <c r="A35" i="16"/>
  <c r="N35" i="16"/>
  <c r="O35" i="16"/>
  <c r="P35" i="16"/>
  <c r="A36" i="16"/>
  <c r="N36" i="16"/>
  <c r="O36" i="16"/>
  <c r="P36" i="16"/>
  <c r="A37" i="16"/>
  <c r="N37" i="16"/>
  <c r="O37" i="16"/>
  <c r="P37" i="16"/>
  <c r="A38" i="16"/>
  <c r="N38" i="16"/>
  <c r="O38" i="16"/>
  <c r="P38" i="16"/>
  <c r="A39" i="16"/>
  <c r="N39" i="16"/>
  <c r="O39" i="16"/>
  <c r="P39" i="16"/>
  <c r="A40" i="16"/>
  <c r="N40" i="16"/>
  <c r="O40" i="16"/>
  <c r="P40" i="16"/>
  <c r="A41" i="16"/>
  <c r="N41" i="16"/>
  <c r="O41" i="16"/>
  <c r="P41" i="16"/>
  <c r="A42" i="16"/>
  <c r="N42" i="16"/>
  <c r="O42" i="16"/>
  <c r="P42" i="16"/>
  <c r="A43" i="16"/>
  <c r="N43" i="16"/>
  <c r="O43" i="16"/>
  <c r="P43" i="16"/>
  <c r="A44" i="16"/>
  <c r="N44" i="16"/>
  <c r="O44" i="16"/>
  <c r="P44" i="16"/>
  <c r="A45" i="16"/>
  <c r="N45" i="16"/>
  <c r="O45" i="16"/>
  <c r="P45" i="16"/>
  <c r="A46" i="16"/>
  <c r="N46" i="16"/>
  <c r="O46" i="16"/>
  <c r="P46" i="16"/>
  <c r="A47" i="16"/>
  <c r="N47" i="16"/>
  <c r="O47" i="16"/>
  <c r="P47" i="16"/>
  <c r="A48" i="16"/>
  <c r="N48" i="16"/>
  <c r="O48" i="16"/>
  <c r="P48" i="16"/>
  <c r="A49" i="16"/>
  <c r="N49" i="16"/>
  <c r="O49" i="16"/>
  <c r="P49" i="16"/>
  <c r="A50" i="16"/>
  <c r="N50" i="16"/>
  <c r="O50" i="16"/>
  <c r="P50" i="16"/>
  <c r="A51" i="16"/>
  <c r="N51" i="16"/>
  <c r="O51" i="16"/>
  <c r="P51" i="16"/>
  <c r="A52" i="16"/>
  <c r="N52" i="16"/>
  <c r="O52" i="16"/>
  <c r="P52" i="16"/>
  <c r="A53" i="16"/>
  <c r="N53" i="16"/>
  <c r="O53" i="16"/>
  <c r="P53" i="16"/>
  <c r="A54" i="16"/>
  <c r="N54" i="16"/>
  <c r="O54" i="16"/>
  <c r="P54" i="16"/>
  <c r="A55" i="16"/>
  <c r="N55" i="16"/>
  <c r="O55" i="16"/>
  <c r="P55" i="16"/>
  <c r="A56" i="16"/>
  <c r="N56" i="16"/>
  <c r="O56" i="16"/>
  <c r="P56" i="16"/>
  <c r="A57" i="16"/>
  <c r="N57" i="16"/>
  <c r="O57" i="16"/>
  <c r="P57" i="16"/>
  <c r="A58" i="16"/>
  <c r="N58" i="16"/>
  <c r="O58" i="16"/>
  <c r="P58" i="16"/>
  <c r="A59" i="16"/>
  <c r="N59" i="16"/>
  <c r="O59" i="16"/>
  <c r="P59" i="16"/>
  <c r="A60" i="16"/>
  <c r="N60" i="16"/>
  <c r="O60" i="16"/>
  <c r="P60" i="16"/>
  <c r="A61" i="16"/>
  <c r="N61" i="16"/>
  <c r="O61" i="16"/>
  <c r="P61" i="16"/>
  <c r="A62" i="16"/>
  <c r="N62" i="16"/>
  <c r="O62" i="16"/>
  <c r="P62" i="16"/>
  <c r="A63" i="16"/>
  <c r="N63" i="16"/>
  <c r="O63" i="16"/>
  <c r="P63" i="16"/>
  <c r="A64" i="16"/>
  <c r="N64" i="16"/>
  <c r="O64" i="16"/>
  <c r="P64" i="16"/>
  <c r="A65" i="16"/>
  <c r="N65" i="16"/>
  <c r="O65" i="16"/>
  <c r="P65" i="16"/>
  <c r="A66" i="16"/>
  <c r="N66" i="16"/>
  <c r="M66" i="16"/>
  <c r="O66" i="16" s="1"/>
  <c r="A67" i="16"/>
  <c r="N67" i="16"/>
  <c r="M67" i="16"/>
  <c r="O67" i="16" s="1"/>
  <c r="A68" i="16"/>
  <c r="N68" i="16"/>
  <c r="M68" i="16"/>
  <c r="O68" i="16" s="1"/>
  <c r="P68" i="16"/>
  <c r="A69" i="16"/>
  <c r="N69" i="16"/>
  <c r="M69" i="16"/>
  <c r="O69" i="16"/>
  <c r="P69" i="16"/>
  <c r="A70" i="16"/>
  <c r="N70" i="16"/>
  <c r="M70" i="16"/>
  <c r="O70" i="16" s="1"/>
  <c r="P70" i="16"/>
  <c r="A71" i="16"/>
  <c r="N71" i="16"/>
  <c r="M71" i="16"/>
  <c r="O71" i="16" s="1"/>
  <c r="A72" i="16"/>
  <c r="N72" i="16"/>
  <c r="M72" i="16"/>
  <c r="O72" i="16" s="1"/>
  <c r="P72" i="16"/>
  <c r="A73" i="16"/>
  <c r="N73" i="16"/>
  <c r="M73" i="16"/>
  <c r="P73" i="16" s="1"/>
  <c r="A74" i="16"/>
  <c r="N74" i="16"/>
  <c r="M74" i="16"/>
  <c r="O74" i="16" s="1"/>
  <c r="P74" i="16"/>
  <c r="A75" i="16"/>
  <c r="N75" i="16"/>
  <c r="M75" i="16"/>
  <c r="O75" i="16" s="1"/>
  <c r="P75" i="16"/>
  <c r="A76" i="16"/>
  <c r="N76" i="16"/>
  <c r="M76" i="16"/>
  <c r="O76" i="16" s="1"/>
  <c r="P76" i="16"/>
  <c r="A77" i="16"/>
  <c r="N77" i="16"/>
  <c r="O77" i="16"/>
  <c r="M77" i="16"/>
  <c r="P77" i="16" s="1"/>
  <c r="A78" i="16"/>
  <c r="N78" i="16"/>
  <c r="O78" i="16"/>
  <c r="M78" i="16"/>
  <c r="P78" i="16"/>
  <c r="A80" i="16"/>
  <c r="N80" i="16"/>
  <c r="O80" i="16"/>
  <c r="P80" i="16"/>
  <c r="A79" i="16"/>
  <c r="N79" i="16"/>
  <c r="O79" i="16"/>
  <c r="P79" i="16"/>
  <c r="A81" i="16"/>
  <c r="N81" i="16"/>
  <c r="O81" i="16"/>
  <c r="P81" i="16"/>
  <c r="A84" i="16"/>
  <c r="N84" i="16"/>
  <c r="O84" i="16"/>
  <c r="P84" i="16"/>
  <c r="A85" i="16"/>
  <c r="N85" i="16"/>
  <c r="O85" i="16"/>
  <c r="P85" i="16"/>
  <c r="A87" i="16"/>
  <c r="N87" i="16"/>
  <c r="O87" i="16"/>
  <c r="P87" i="16"/>
  <c r="A88" i="16"/>
  <c r="N88" i="16"/>
  <c r="O88" i="16"/>
  <c r="P88" i="16"/>
  <c r="A89" i="16"/>
  <c r="N89" i="16"/>
  <c r="O89" i="16"/>
  <c r="P89" i="16"/>
  <c r="A90" i="16"/>
  <c r="N90" i="16"/>
  <c r="O90" i="16"/>
  <c r="P90" i="16"/>
  <c r="A91" i="16"/>
  <c r="N91" i="16"/>
  <c r="O91" i="16"/>
  <c r="P91" i="16"/>
  <c r="A92" i="16"/>
  <c r="N92" i="16"/>
  <c r="O92" i="16"/>
  <c r="P92" i="16"/>
  <c r="A93" i="16"/>
  <c r="N93" i="16"/>
  <c r="O93" i="16"/>
  <c r="P93" i="16"/>
  <c r="A94" i="16"/>
  <c r="N94" i="16"/>
  <c r="O94" i="16"/>
  <c r="P94" i="16"/>
  <c r="A95" i="16"/>
  <c r="N95" i="16"/>
  <c r="O95" i="16"/>
  <c r="P95" i="16"/>
  <c r="A96" i="16"/>
  <c r="N96" i="16"/>
  <c r="O96" i="16"/>
  <c r="P96" i="16"/>
  <c r="A97" i="16"/>
  <c r="N97" i="16"/>
  <c r="O97" i="16"/>
  <c r="P97" i="16"/>
  <c r="A98" i="16"/>
  <c r="N98" i="16"/>
  <c r="O98" i="16"/>
  <c r="P98" i="16"/>
  <c r="A99" i="16"/>
  <c r="N99" i="16"/>
  <c r="O99" i="16"/>
  <c r="P99" i="16"/>
  <c r="A100" i="16"/>
  <c r="N100" i="16"/>
  <c r="O100" i="16"/>
  <c r="P100" i="16"/>
  <c r="A101" i="16"/>
  <c r="N101" i="16"/>
  <c r="O101" i="16"/>
  <c r="P101" i="16"/>
  <c r="A102" i="16"/>
  <c r="N102" i="16"/>
  <c r="O102" i="16"/>
  <c r="P102" i="16"/>
  <c r="A103" i="16"/>
  <c r="N103" i="16"/>
  <c r="O103" i="16"/>
  <c r="P103" i="16"/>
  <c r="A104" i="16"/>
  <c r="N104" i="16"/>
  <c r="O104" i="16"/>
  <c r="P104" i="16"/>
  <c r="A105" i="16"/>
  <c r="N105" i="16"/>
  <c r="O105" i="16"/>
  <c r="P105" i="16"/>
  <c r="A106" i="16"/>
  <c r="N106" i="16"/>
  <c r="O106" i="16"/>
  <c r="P106" i="16"/>
  <c r="A107" i="16"/>
  <c r="N107" i="16"/>
  <c r="O107" i="16"/>
  <c r="P107" i="16"/>
  <c r="A108" i="16"/>
  <c r="N108" i="16"/>
  <c r="O108" i="16"/>
  <c r="P108" i="16"/>
  <c r="A109" i="16"/>
  <c r="N109" i="16"/>
  <c r="O109" i="16"/>
  <c r="P109" i="16"/>
  <c r="A110" i="16"/>
  <c r="N110" i="16"/>
  <c r="O110" i="16"/>
  <c r="P110" i="16"/>
  <c r="A111" i="16"/>
  <c r="N111" i="16"/>
  <c r="O111" i="16"/>
  <c r="P111" i="16"/>
  <c r="A112" i="16"/>
  <c r="N112" i="16"/>
  <c r="O112" i="16"/>
  <c r="P112" i="16"/>
  <c r="A113" i="16"/>
  <c r="N113" i="16"/>
  <c r="O113" i="16"/>
  <c r="P113" i="16"/>
  <c r="A114" i="16"/>
  <c r="N114" i="16"/>
  <c r="O114" i="16"/>
  <c r="P114" i="16"/>
  <c r="A115" i="16"/>
  <c r="N115" i="16"/>
  <c r="O115" i="16"/>
  <c r="P115" i="16"/>
  <c r="A116" i="16"/>
  <c r="N116" i="16"/>
  <c r="O116" i="16"/>
  <c r="P116" i="16"/>
  <c r="A117" i="16"/>
  <c r="N117" i="16"/>
  <c r="O117" i="16"/>
  <c r="P117" i="16"/>
  <c r="A118" i="16"/>
  <c r="N118" i="16"/>
  <c r="O118" i="16"/>
  <c r="P118" i="16"/>
  <c r="A119" i="16"/>
  <c r="N119" i="16"/>
  <c r="O119" i="16"/>
  <c r="P119" i="16"/>
  <c r="A120" i="16"/>
  <c r="N120" i="16"/>
  <c r="O120" i="16"/>
  <c r="P120" i="16"/>
  <c r="A121" i="16"/>
  <c r="N121" i="16"/>
  <c r="O121" i="16"/>
  <c r="P121" i="16"/>
  <c r="A122" i="16"/>
  <c r="N122" i="16"/>
  <c r="O122" i="16"/>
  <c r="P122" i="16"/>
  <c r="A123" i="16"/>
  <c r="N123" i="16"/>
  <c r="O123" i="16"/>
  <c r="P123" i="16"/>
  <c r="A124" i="16"/>
  <c r="N124" i="16"/>
  <c r="O124" i="16"/>
  <c r="P124" i="16"/>
  <c r="A125" i="16"/>
  <c r="N125" i="16"/>
  <c r="O125" i="16"/>
  <c r="P125" i="16"/>
  <c r="A126" i="16"/>
  <c r="N126" i="16"/>
  <c r="O126" i="16"/>
  <c r="P126" i="16"/>
  <c r="A127" i="16"/>
  <c r="N127" i="16"/>
  <c r="O127" i="16"/>
  <c r="P127" i="16"/>
  <c r="A128" i="16"/>
  <c r="N128" i="16"/>
  <c r="O128" i="16"/>
  <c r="P128" i="16"/>
  <c r="A129" i="16"/>
  <c r="N129" i="16"/>
  <c r="O129" i="16"/>
  <c r="P129" i="16"/>
  <c r="A130" i="16"/>
  <c r="N130" i="16"/>
  <c r="O130" i="16"/>
  <c r="P130" i="16"/>
  <c r="A131" i="16"/>
  <c r="N131" i="16"/>
  <c r="O131" i="16"/>
  <c r="P131" i="16"/>
  <c r="A132" i="16"/>
  <c r="N132" i="16"/>
  <c r="O132" i="16"/>
  <c r="M132" i="16"/>
  <c r="P132" i="16" s="1"/>
  <c r="A133" i="16"/>
  <c r="N133" i="16"/>
  <c r="O133" i="16"/>
  <c r="M133" i="16"/>
  <c r="P133" i="16" s="1"/>
  <c r="A134" i="16"/>
  <c r="N134" i="16"/>
  <c r="O134" i="16"/>
  <c r="P134" i="16"/>
  <c r="A135" i="16"/>
  <c r="N135" i="16"/>
  <c r="O135" i="16"/>
  <c r="M135" i="16"/>
  <c r="P135" i="16" s="1"/>
  <c r="A136" i="16"/>
  <c r="N136" i="16"/>
  <c r="O136" i="16"/>
  <c r="M136" i="16"/>
  <c r="P136" i="16" s="1"/>
  <c r="A137" i="16"/>
  <c r="N137" i="16"/>
  <c r="O137" i="16"/>
  <c r="P137" i="16"/>
  <c r="A138" i="16"/>
  <c r="N138" i="16"/>
  <c r="O138" i="16"/>
  <c r="P138" i="16"/>
  <c r="A139" i="16"/>
  <c r="N139" i="16"/>
  <c r="O139" i="16"/>
  <c r="P139" i="16"/>
  <c r="A140" i="16"/>
  <c r="N140" i="16"/>
  <c r="O140" i="16"/>
  <c r="P140" i="16"/>
  <c r="A141" i="16"/>
  <c r="N141" i="16"/>
  <c r="O141" i="16"/>
  <c r="P141" i="16"/>
  <c r="A142" i="16"/>
  <c r="N142" i="16"/>
  <c r="O142" i="16"/>
  <c r="P142" i="16"/>
  <c r="A143" i="16"/>
  <c r="N143" i="16"/>
  <c r="O143" i="16"/>
  <c r="P143" i="16"/>
  <c r="A144" i="16"/>
  <c r="N144" i="16"/>
  <c r="O144" i="16"/>
  <c r="P144" i="16"/>
  <c r="A145" i="16"/>
  <c r="N145" i="16"/>
  <c r="O145" i="16"/>
  <c r="P145" i="16"/>
  <c r="A146" i="16"/>
  <c r="N146" i="16"/>
  <c r="O146" i="16"/>
  <c r="P146" i="16"/>
  <c r="A147" i="16"/>
  <c r="N147" i="16"/>
  <c r="O147" i="16"/>
  <c r="P147" i="16"/>
  <c r="A148" i="16"/>
  <c r="N148" i="16"/>
  <c r="O148" i="16"/>
  <c r="P148" i="16"/>
  <c r="A149" i="16"/>
  <c r="N149" i="16"/>
  <c r="O149" i="16"/>
  <c r="P149" i="16"/>
  <c r="A150" i="16"/>
  <c r="N150" i="16"/>
  <c r="O150" i="16"/>
  <c r="P150" i="16"/>
  <c r="A151" i="16"/>
  <c r="N151" i="16"/>
  <c r="O151" i="16"/>
  <c r="P151" i="16"/>
  <c r="W140" i="18"/>
  <c r="A48" i="18"/>
  <c r="Q48" i="18"/>
  <c r="U48" i="18"/>
  <c r="V48" i="18"/>
  <c r="W48" i="18"/>
  <c r="L40" i="7"/>
  <c r="M40" i="7" s="1"/>
  <c r="A145" i="18"/>
  <c r="A146" i="18"/>
  <c r="W146" i="18"/>
  <c r="V146" i="18"/>
  <c r="U146" i="18"/>
  <c r="Q146" i="18"/>
  <c r="W145" i="18"/>
  <c r="V145" i="18"/>
  <c r="U145" i="18"/>
  <c r="Q145" i="18"/>
  <c r="A152" i="18"/>
  <c r="L65" i="7"/>
  <c r="L86" i="7"/>
  <c r="M86" i="7" s="1"/>
  <c r="L81" i="7"/>
  <c r="M81" i="7" s="1"/>
  <c r="L85" i="7"/>
  <c r="M85" i="7" s="1"/>
  <c r="L84" i="7"/>
  <c r="M84" i="7" s="1"/>
  <c r="L72" i="7"/>
  <c r="M72" i="7" s="1"/>
  <c r="L70" i="7"/>
  <c r="M70" i="7" s="1"/>
  <c r="L66" i="7"/>
  <c r="M66" i="7" s="1"/>
  <c r="L69" i="7"/>
  <c r="M69" i="7" s="1"/>
  <c r="L105" i="7"/>
  <c r="M105" i="7" s="1"/>
  <c r="L102" i="7"/>
  <c r="L123" i="7"/>
  <c r="M123" i="7" s="1"/>
  <c r="L122" i="7"/>
  <c r="L89" i="7"/>
  <c r="M89" i="7" s="1"/>
  <c r="A134" i="18"/>
  <c r="A2" i="18"/>
  <c r="AG2" i="18" s="1"/>
  <c r="A5" i="18"/>
  <c r="AH5" i="18" s="1"/>
  <c r="A7" i="18"/>
  <c r="AD7" i="18" s="1"/>
  <c r="A9" i="18"/>
  <c r="A11" i="18"/>
  <c r="A13" i="18"/>
  <c r="A15" i="18"/>
  <c r="AL15" i="18" s="1"/>
  <c r="A17" i="18"/>
  <c r="A19" i="18"/>
  <c r="A23" i="18"/>
  <c r="A25" i="18"/>
  <c r="A27" i="18"/>
  <c r="A29" i="18"/>
  <c r="A31" i="18"/>
  <c r="A33" i="18"/>
  <c r="A35" i="18"/>
  <c r="AC35" i="18" s="1"/>
  <c r="A37" i="18"/>
  <c r="AC37" i="18" s="1"/>
  <c r="A39" i="18"/>
  <c r="F39" i="18" s="1"/>
  <c r="A41" i="18"/>
  <c r="A43" i="18"/>
  <c r="AG43" i="18" s="1"/>
  <c r="A45" i="18"/>
  <c r="A47" i="18"/>
  <c r="A50" i="18"/>
  <c r="A52" i="18"/>
  <c r="AC52" i="18" s="1"/>
  <c r="A54" i="18"/>
  <c r="E54" i="18" s="1"/>
  <c r="A56" i="18"/>
  <c r="AG56" i="18" s="1"/>
  <c r="A58" i="18"/>
  <c r="AF58" i="18" s="1"/>
  <c r="T58" i="18" s="1"/>
  <c r="A60" i="18"/>
  <c r="AD60" i="18" s="1"/>
  <c r="A62" i="18"/>
  <c r="A64" i="18"/>
  <c r="A66" i="18"/>
  <c r="A69" i="18"/>
  <c r="A72" i="18"/>
  <c r="A77" i="18"/>
  <c r="A79" i="18"/>
  <c r="A135" i="18"/>
  <c r="A136" i="18"/>
  <c r="A137" i="18"/>
  <c r="A138" i="18"/>
  <c r="A139" i="18"/>
  <c r="A70" i="18"/>
  <c r="A30" i="18"/>
  <c r="G30" i="18" s="1"/>
  <c r="A81" i="18"/>
  <c r="A80" i="18"/>
  <c r="A12" i="18"/>
  <c r="A51" i="18"/>
  <c r="A10" i="18"/>
  <c r="A104" i="18"/>
  <c r="A128" i="18"/>
  <c r="A130" i="18"/>
  <c r="A132" i="18"/>
  <c r="A20" i="18"/>
  <c r="A94" i="18"/>
  <c r="A110" i="18"/>
  <c r="A99" i="18"/>
  <c r="A55" i="18"/>
  <c r="A74" i="18"/>
  <c r="A117" i="18"/>
  <c r="A148" i="18"/>
  <c r="A149" i="18"/>
  <c r="A32" i="18"/>
  <c r="A121" i="18"/>
  <c r="A59" i="18"/>
  <c r="A119" i="18"/>
  <c r="A4" i="18"/>
  <c r="AD4" i="18" s="1"/>
  <c r="A102" i="18"/>
  <c r="A65" i="18"/>
  <c r="A131" i="18"/>
  <c r="A90" i="18"/>
  <c r="A91" i="18"/>
  <c r="A103" i="18"/>
  <c r="A142" i="18"/>
  <c r="A143" i="18"/>
  <c r="A40" i="18"/>
  <c r="A73" i="18"/>
  <c r="A115" i="18"/>
  <c r="A108" i="18"/>
  <c r="A122" i="18"/>
  <c r="A144" i="18"/>
  <c r="A8" i="18"/>
  <c r="A21" i="18"/>
  <c r="AD21" i="18" s="1"/>
  <c r="A95" i="18"/>
  <c r="A16" i="18"/>
  <c r="A67" i="18"/>
  <c r="AG67" i="18" s="1"/>
  <c r="A78" i="18"/>
  <c r="A96" i="18"/>
  <c r="A42" i="18"/>
  <c r="A61" i="18"/>
  <c r="A24" i="18"/>
  <c r="AD24" i="18" s="1"/>
  <c r="A129" i="18"/>
  <c r="A151" i="18"/>
  <c r="A76" i="18"/>
  <c r="A89" i="18"/>
  <c r="A97" i="18"/>
  <c r="A107" i="18"/>
  <c r="A118" i="18"/>
  <c r="A105" i="18"/>
  <c r="A120" i="18"/>
  <c r="A100" i="18"/>
  <c r="A68" i="18"/>
  <c r="A98" i="18"/>
  <c r="A141" i="18"/>
  <c r="A127" i="18"/>
  <c r="A113" i="18"/>
  <c r="A116" i="18"/>
  <c r="A111" i="18"/>
  <c r="A18" i="18"/>
  <c r="G18" i="18" s="1"/>
  <c r="A38" i="18"/>
  <c r="A53" i="18"/>
  <c r="G53" i="18" s="1"/>
  <c r="A114" i="18"/>
  <c r="A147" i="18"/>
  <c r="A57" i="18"/>
  <c r="AD57" i="18" s="1"/>
  <c r="A150" i="18"/>
  <c r="A34" i="18"/>
  <c r="A112" i="18"/>
  <c r="A14" i="18"/>
  <c r="AD14" i="18" s="1"/>
  <c r="A75" i="18"/>
  <c r="A124" i="18"/>
  <c r="A106" i="18"/>
  <c r="A63" i="18"/>
  <c r="AF63" i="18" s="1"/>
  <c r="T63" i="18" s="1"/>
  <c r="A71" i="18"/>
  <c r="A123" i="18"/>
  <c r="A85" i="18"/>
  <c r="A84" i="18"/>
  <c r="A26" i="18"/>
  <c r="A44" i="18"/>
  <c r="A86" i="18"/>
  <c r="A92" i="18"/>
  <c r="A93" i="18"/>
  <c r="A101" i="18"/>
  <c r="A125" i="18"/>
  <c r="A126" i="18"/>
  <c r="A49" i="18"/>
  <c r="A28" i="18"/>
  <c r="A88" i="18"/>
  <c r="A22" i="18"/>
  <c r="A36" i="18"/>
  <c r="E36" i="18" s="1"/>
  <c r="A3" i="18"/>
  <c r="AD3" i="18" s="1"/>
  <c r="A82" i="18"/>
  <c r="A46" i="18"/>
  <c r="G46" i="18" s="1"/>
  <c r="A109" i="18"/>
  <c r="A133" i="18"/>
  <c r="E51" i="9"/>
  <c r="F51" i="9" s="1"/>
  <c r="E2" i="9"/>
  <c r="F2" i="9" s="1"/>
  <c r="AK2" i="10" s="1"/>
  <c r="Q2" i="10" s="1"/>
  <c r="E3" i="9"/>
  <c r="F3" i="9" s="1"/>
  <c r="AK3" i="10" s="1"/>
  <c r="E4" i="9"/>
  <c r="F4" i="9" s="1"/>
  <c r="E5" i="9"/>
  <c r="F5" i="9" s="1"/>
  <c r="E6" i="9"/>
  <c r="F6" i="9" s="1"/>
  <c r="AK5" i="10" s="1"/>
  <c r="Q5" i="10" s="1"/>
  <c r="E31" i="9"/>
  <c r="F31" i="9" s="1"/>
  <c r="AK24" i="10" s="1"/>
  <c r="Q24" i="10" s="1"/>
  <c r="E22" i="9"/>
  <c r="F22" i="9" s="1"/>
  <c r="E10" i="9"/>
  <c r="F10" i="9" s="1"/>
  <c r="E8" i="9"/>
  <c r="F8" i="9" s="1"/>
  <c r="AK8" i="10" s="1"/>
  <c r="Q8" i="10" s="1"/>
  <c r="E9" i="9"/>
  <c r="F9" i="9" s="1"/>
  <c r="E12" i="9"/>
  <c r="F12" i="9" s="1"/>
  <c r="E13" i="9"/>
  <c r="F13" i="9" s="1"/>
  <c r="AK11" i="10" s="1"/>
  <c r="Q11" i="10" s="1"/>
  <c r="E14" i="9"/>
  <c r="F14" i="9" s="1"/>
  <c r="E15" i="9"/>
  <c r="F15" i="9" s="1"/>
  <c r="E16" i="9"/>
  <c r="F16" i="9" s="1"/>
  <c r="E17" i="9"/>
  <c r="F17" i="9" s="1"/>
  <c r="E18" i="9"/>
  <c r="F18" i="9" s="1"/>
  <c r="AK13" i="10" s="1"/>
  <c r="Q13" i="10" s="1"/>
  <c r="E19" i="9"/>
  <c r="F19" i="9" s="1"/>
  <c r="E21" i="9"/>
  <c r="F21" i="9" s="1"/>
  <c r="AK15" i="10" s="1"/>
  <c r="Q15" i="10" s="1"/>
  <c r="E35" i="9"/>
  <c r="F35" i="9" s="1"/>
  <c r="AK27" i="10" s="1"/>
  <c r="Q27" i="10" s="1"/>
  <c r="E23" i="9"/>
  <c r="F23" i="9" s="1"/>
  <c r="AK18" i="10" s="1"/>
  <c r="Q18" i="10" s="1"/>
  <c r="E33" i="9"/>
  <c r="F33" i="9" s="1"/>
  <c r="E24" i="9"/>
  <c r="F24" i="9" s="1"/>
  <c r="AK19" i="10" s="1"/>
  <c r="Q19" i="10" s="1"/>
  <c r="E25" i="9"/>
  <c r="F25" i="9" s="1"/>
  <c r="E30" i="9"/>
  <c r="F30" i="9" s="1"/>
  <c r="E26" i="9"/>
  <c r="F26" i="9" s="1"/>
  <c r="E27" i="9"/>
  <c r="F27" i="9" s="1"/>
  <c r="E11" i="9"/>
  <c r="F11" i="9" s="1"/>
  <c r="E20" i="9"/>
  <c r="F20" i="9" s="1"/>
  <c r="E29" i="9"/>
  <c r="F29" i="9" s="1"/>
  <c r="E7" i="9"/>
  <c r="F7" i="9" s="1"/>
  <c r="E36" i="9"/>
  <c r="F36" i="9" s="1"/>
  <c r="AK28" i="10" s="1"/>
  <c r="Q28" i="10" s="1"/>
  <c r="E37" i="9"/>
  <c r="F37" i="9" s="1"/>
  <c r="AK29" i="10" s="1"/>
  <c r="Q29" i="10" s="1"/>
  <c r="E38" i="9"/>
  <c r="F38" i="9" s="1"/>
  <c r="AK30" i="10" s="1"/>
  <c r="Q30" i="10" s="1"/>
  <c r="E39" i="9"/>
  <c r="F39" i="9" s="1"/>
  <c r="AK31" i="10" s="1"/>
  <c r="Q31" i="10" s="1"/>
  <c r="E40" i="9"/>
  <c r="F40" i="9" s="1"/>
  <c r="E41" i="9"/>
  <c r="F41" i="9" s="1"/>
  <c r="E42" i="9"/>
  <c r="F42" i="9" s="1"/>
  <c r="AK35" i="10" s="1"/>
  <c r="Q35" i="10" s="1"/>
  <c r="E43" i="9"/>
  <c r="F43" i="9" s="1"/>
  <c r="AK36" i="10" s="1"/>
  <c r="Q36" i="10" s="1"/>
  <c r="E44" i="9"/>
  <c r="F44" i="9" s="1"/>
  <c r="AK37" i="10" s="1"/>
  <c r="Q37" i="10" s="1"/>
  <c r="E45" i="9"/>
  <c r="F45" i="9" s="1"/>
  <c r="AK38" i="10" s="1"/>
  <c r="Q38" i="10" s="1"/>
  <c r="E46" i="9"/>
  <c r="F46" i="9" s="1"/>
  <c r="AK39" i="10" s="1"/>
  <c r="Q39" i="10" s="1"/>
  <c r="E55" i="9"/>
  <c r="F55" i="9" s="1"/>
  <c r="E47" i="9"/>
  <c r="F47" i="9" s="1"/>
  <c r="AK40" i="10" s="1"/>
  <c r="Q40" i="10" s="1"/>
  <c r="E32" i="9"/>
  <c r="F32" i="9" s="1"/>
  <c r="E48" i="9"/>
  <c r="F48" i="9" s="1"/>
  <c r="AK41" i="10" s="1"/>
  <c r="Q41" i="10" s="1"/>
  <c r="E49" i="9"/>
  <c r="F49" i="9" s="1"/>
  <c r="AK42" i="10" s="1"/>
  <c r="Q42" i="10" s="1"/>
  <c r="E50" i="9"/>
  <c r="F50" i="9" s="1"/>
  <c r="AK43" i="10" s="1"/>
  <c r="Q43" i="10" s="1"/>
  <c r="E52" i="9"/>
  <c r="F52" i="9" s="1"/>
  <c r="E53" i="9"/>
  <c r="F53" i="9" s="1"/>
  <c r="E54" i="9"/>
  <c r="F54" i="9" s="1"/>
  <c r="E56" i="9"/>
  <c r="F56" i="9" s="1"/>
  <c r="E57" i="9"/>
  <c r="F57" i="9" s="1"/>
  <c r="AK48" i="10" s="1"/>
  <c r="Q48" i="10" s="1"/>
  <c r="U23" i="18"/>
  <c r="V23" i="18"/>
  <c r="W23" i="18"/>
  <c r="U7" i="18"/>
  <c r="V7" i="18"/>
  <c r="W7" i="18"/>
  <c r="U13" i="18"/>
  <c r="V13" i="18"/>
  <c r="W13" i="18"/>
  <c r="U90" i="18"/>
  <c r="V90" i="18"/>
  <c r="W90" i="18"/>
  <c r="U91" i="18"/>
  <c r="AF15" i="10"/>
  <c r="AF23" i="10"/>
  <c r="AF44" i="10"/>
  <c r="AF48" i="10"/>
  <c r="AF7" i="10"/>
  <c r="AF32" i="10"/>
  <c r="AF47" i="10"/>
  <c r="AE48" i="10"/>
  <c r="V2" i="18"/>
  <c r="W2" i="18"/>
  <c r="U14" i="18"/>
  <c r="V14" i="18"/>
  <c r="W14" i="18"/>
  <c r="AI35" i="10"/>
  <c r="J35" i="10" s="1"/>
  <c r="C31" i="8"/>
  <c r="AJ35" i="10" s="1"/>
  <c r="K35" i="10" s="1"/>
  <c r="U30" i="18"/>
  <c r="V30" i="18"/>
  <c r="W30" i="18"/>
  <c r="U31" i="18"/>
  <c r="V31" i="18"/>
  <c r="W31" i="18"/>
  <c r="Q81" i="18"/>
  <c r="T81" i="18"/>
  <c r="U81" i="18"/>
  <c r="V81" i="18"/>
  <c r="W81" i="18"/>
  <c r="U80" i="18"/>
  <c r="V80" i="18"/>
  <c r="W80" i="18"/>
  <c r="AI3" i="10"/>
  <c r="J3" i="10" s="1"/>
  <c r="AJ3" i="10"/>
  <c r="K3" i="10" s="1"/>
  <c r="U22" i="18"/>
  <c r="V22" i="18"/>
  <c r="W22" i="18"/>
  <c r="Q35" i="18"/>
  <c r="U35" i="18"/>
  <c r="V35" i="18"/>
  <c r="W35" i="18"/>
  <c r="Q36" i="18"/>
  <c r="U36" i="18"/>
  <c r="V36" i="18"/>
  <c r="W36" i="18"/>
  <c r="Q133" i="18"/>
  <c r="T133" i="18"/>
  <c r="U133" i="18"/>
  <c r="W133" i="18"/>
  <c r="Q134" i="18"/>
  <c r="T134" i="18"/>
  <c r="U134" i="18"/>
  <c r="W134" i="18"/>
  <c r="Q135" i="18"/>
  <c r="T135" i="18"/>
  <c r="U135" i="18"/>
  <c r="W135" i="18"/>
  <c r="Q136" i="18"/>
  <c r="T136" i="18"/>
  <c r="U136" i="18"/>
  <c r="W136" i="18"/>
  <c r="Q137" i="18"/>
  <c r="T137" i="18"/>
  <c r="U137" i="18"/>
  <c r="W137" i="18"/>
  <c r="Q138" i="18"/>
  <c r="U138" i="18"/>
  <c r="V138" i="18"/>
  <c r="W138" i="18"/>
  <c r="Q139" i="18"/>
  <c r="U139" i="18"/>
  <c r="V139" i="18"/>
  <c r="W139" i="18"/>
  <c r="U25" i="18"/>
  <c r="Q70" i="18"/>
  <c r="U70" i="18"/>
  <c r="V70" i="18"/>
  <c r="W70" i="18"/>
  <c r="Q12" i="18"/>
  <c r="U12" i="18"/>
  <c r="V12" i="18"/>
  <c r="W12" i="18"/>
  <c r="V51" i="18"/>
  <c r="W51" i="18"/>
  <c r="Q52" i="18"/>
  <c r="U52" i="18"/>
  <c r="V52" i="18"/>
  <c r="W52" i="18"/>
  <c r="U10" i="18"/>
  <c r="V10" i="18"/>
  <c r="W10" i="18"/>
  <c r="U104" i="18"/>
  <c r="V104" i="18"/>
  <c r="W104" i="18"/>
  <c r="U128" i="18"/>
  <c r="U43" i="18"/>
  <c r="V43" i="18"/>
  <c r="W43" i="18"/>
  <c r="U130" i="18"/>
  <c r="W130" i="18"/>
  <c r="U132" i="18"/>
  <c r="W132" i="18"/>
  <c r="U20" i="18"/>
  <c r="V20" i="18"/>
  <c r="W20" i="18"/>
  <c r="U50" i="18"/>
  <c r="V50" i="18"/>
  <c r="W50" i="18"/>
  <c r="U94" i="18"/>
  <c r="V94" i="18"/>
  <c r="W94" i="18"/>
  <c r="U110" i="18"/>
  <c r="V110" i="18"/>
  <c r="W110" i="18"/>
  <c r="U99" i="18"/>
  <c r="U55" i="18"/>
  <c r="V55" i="18"/>
  <c r="W55" i="18"/>
  <c r="U74" i="18"/>
  <c r="W74" i="18"/>
  <c r="U117" i="18"/>
  <c r="V117" i="18"/>
  <c r="W117" i="18"/>
  <c r="U5" i="18"/>
  <c r="V5" i="18"/>
  <c r="W5" i="18"/>
  <c r="Q148" i="18"/>
  <c r="U148" i="18"/>
  <c r="V148" i="18"/>
  <c r="W148" i="18"/>
  <c r="Q149" i="18"/>
  <c r="U149" i="18"/>
  <c r="V149" i="18"/>
  <c r="W149" i="18"/>
  <c r="U32" i="18"/>
  <c r="W32" i="18"/>
  <c r="Q77" i="18"/>
  <c r="U77" i="18"/>
  <c r="V77" i="18"/>
  <c r="W77" i="18"/>
  <c r="U121" i="18"/>
  <c r="W121" i="18"/>
  <c r="W59" i="18"/>
  <c r="U59" i="18"/>
  <c r="U119" i="18"/>
  <c r="W119" i="18"/>
  <c r="Q4" i="18"/>
  <c r="U4" i="18"/>
  <c r="W4" i="18"/>
  <c r="U102" i="18"/>
  <c r="U27" i="18"/>
  <c r="V27" i="18"/>
  <c r="W27" i="18"/>
  <c r="U58" i="18"/>
  <c r="V58" i="18"/>
  <c r="W58" i="18"/>
  <c r="U103" i="18"/>
  <c r="V103" i="18"/>
  <c r="W103" i="18"/>
  <c r="U142" i="18"/>
  <c r="W142" i="18"/>
  <c r="P143" i="18"/>
  <c r="Q143" i="18"/>
  <c r="U143" i="18"/>
  <c r="W143" i="18"/>
  <c r="U40" i="18"/>
  <c r="Q73" i="18"/>
  <c r="U73" i="18"/>
  <c r="V73" i="18"/>
  <c r="W73" i="18"/>
  <c r="U115" i="18"/>
  <c r="V115" i="18"/>
  <c r="W115" i="18"/>
  <c r="U41" i="18"/>
  <c r="V41" i="18"/>
  <c r="W41" i="18"/>
  <c r="U122" i="18"/>
  <c r="V122" i="18"/>
  <c r="W122" i="18"/>
  <c r="U37" i="18"/>
  <c r="U144" i="18"/>
  <c r="W144" i="18"/>
  <c r="V8" i="18"/>
  <c r="W8" i="18"/>
  <c r="U21" i="18"/>
  <c r="V21" i="18"/>
  <c r="W21" i="18"/>
  <c r="U95" i="18"/>
  <c r="V95" i="18"/>
  <c r="W95" i="18"/>
  <c r="U16" i="18"/>
  <c r="V16" i="18"/>
  <c r="W16" i="18"/>
  <c r="U67" i="18"/>
  <c r="W67" i="18"/>
  <c r="Q78" i="18"/>
  <c r="T78" i="18"/>
  <c r="U78" i="18"/>
  <c r="W78" i="18"/>
  <c r="Q79" i="18"/>
  <c r="T79" i="18"/>
  <c r="U79" i="18"/>
  <c r="W79" i="18"/>
  <c r="U96" i="18"/>
  <c r="V96" i="18"/>
  <c r="W96" i="18"/>
  <c r="U60" i="18"/>
  <c r="W60" i="18"/>
  <c r="U64" i="18"/>
  <c r="V64" i="18"/>
  <c r="W64" i="18"/>
  <c r="U42" i="18"/>
  <c r="V42" i="18"/>
  <c r="W42" i="18"/>
  <c r="U61" i="18"/>
  <c r="W61" i="18"/>
  <c r="U24" i="18"/>
  <c r="U129" i="18"/>
  <c r="V129" i="18"/>
  <c r="W129" i="18"/>
  <c r="Q65" i="18"/>
  <c r="U65" i="18"/>
  <c r="V65" i="18"/>
  <c r="W65" i="18"/>
  <c r="Q76" i="18"/>
  <c r="U76" i="18"/>
  <c r="V76" i="18"/>
  <c r="W76" i="18"/>
  <c r="Q131" i="18"/>
  <c r="U131" i="18"/>
  <c r="V131" i="18"/>
  <c r="W131" i="18"/>
  <c r="U97" i="18"/>
  <c r="V97" i="18"/>
  <c r="W97" i="18"/>
  <c r="U69" i="18"/>
  <c r="V69" i="18"/>
  <c r="W69" i="18"/>
  <c r="U107" i="18"/>
  <c r="W107" i="18"/>
  <c r="U118" i="18"/>
  <c r="V118" i="18"/>
  <c r="W118" i="18"/>
  <c r="U105" i="18"/>
  <c r="V105" i="18"/>
  <c r="W105" i="18"/>
  <c r="U120" i="18"/>
  <c r="W120" i="18"/>
  <c r="U62" i="18"/>
  <c r="V62" i="18"/>
  <c r="W62" i="18"/>
  <c r="U100" i="18"/>
  <c r="V100" i="18"/>
  <c r="W100" i="18"/>
  <c r="U68" i="18"/>
  <c r="W68" i="18"/>
  <c r="U98" i="18"/>
  <c r="V98" i="18"/>
  <c r="W98" i="18"/>
  <c r="Q141" i="18"/>
  <c r="U141" i="18"/>
  <c r="V141" i="18"/>
  <c r="W141" i="18"/>
  <c r="U19" i="18"/>
  <c r="U127" i="18"/>
  <c r="U39" i="18"/>
  <c r="V39" i="18"/>
  <c r="W39" i="18"/>
  <c r="U54" i="18"/>
  <c r="W54" i="18"/>
  <c r="U113" i="18"/>
  <c r="V113" i="18"/>
  <c r="W113" i="18"/>
  <c r="U116" i="18"/>
  <c r="W116" i="18"/>
  <c r="Q15" i="18"/>
  <c r="U15" i="18"/>
  <c r="V15" i="18"/>
  <c r="W15" i="18"/>
  <c r="U56" i="18"/>
  <c r="U111" i="18"/>
  <c r="W111" i="18"/>
  <c r="U17" i="18"/>
  <c r="W17" i="18"/>
  <c r="U18" i="18"/>
  <c r="W18" i="18"/>
  <c r="Q38" i="18"/>
  <c r="U38" i="18"/>
  <c r="V38" i="18"/>
  <c r="W38" i="18"/>
  <c r="U53" i="18"/>
  <c r="W53" i="18"/>
  <c r="U114" i="18"/>
  <c r="W114" i="18"/>
  <c r="V101" i="18"/>
  <c r="U101" i="18"/>
  <c r="Q147" i="18"/>
  <c r="U147" i="18"/>
  <c r="V147" i="18"/>
  <c r="W147" i="18"/>
  <c r="U57" i="18"/>
  <c r="W57" i="18"/>
  <c r="Q150" i="18"/>
  <c r="U150" i="18"/>
  <c r="W150" i="18"/>
  <c r="U34" i="18"/>
  <c r="W34" i="18"/>
  <c r="U72" i="18"/>
  <c r="W72" i="18"/>
  <c r="U112" i="18"/>
  <c r="W112" i="18"/>
  <c r="U29" i="18"/>
  <c r="V29" i="18"/>
  <c r="W29" i="18"/>
  <c r="P151" i="18"/>
  <c r="Q151" i="18"/>
  <c r="U151" i="18"/>
  <c r="V151" i="18"/>
  <c r="W151" i="18"/>
  <c r="U66" i="18"/>
  <c r="V66" i="18"/>
  <c r="W66" i="18"/>
  <c r="Q75" i="18"/>
  <c r="U75" i="18"/>
  <c r="V75" i="18"/>
  <c r="W75" i="18"/>
  <c r="U124" i="18"/>
  <c r="V124" i="18"/>
  <c r="W124" i="18"/>
  <c r="U33" i="18"/>
  <c r="V33" i="18"/>
  <c r="W33" i="18"/>
  <c r="U106" i="18"/>
  <c r="V106" i="18"/>
  <c r="W106" i="18"/>
  <c r="U63" i="18"/>
  <c r="V63" i="18"/>
  <c r="W63" i="18"/>
  <c r="Q71" i="18"/>
  <c r="U71" i="18"/>
  <c r="V71" i="18"/>
  <c r="W71" i="18"/>
  <c r="U123" i="18"/>
  <c r="V123" i="18"/>
  <c r="W123" i="18"/>
  <c r="Q9" i="18"/>
  <c r="U9" i="18"/>
  <c r="V9" i="18"/>
  <c r="W9" i="18"/>
  <c r="Q85" i="18"/>
  <c r="T85" i="18"/>
  <c r="U85" i="18"/>
  <c r="V85" i="18"/>
  <c r="W85" i="18"/>
  <c r="U84" i="18"/>
  <c r="V84" i="18"/>
  <c r="W84" i="18"/>
  <c r="U26" i="18"/>
  <c r="V26" i="18"/>
  <c r="W26" i="18"/>
  <c r="U44" i="18"/>
  <c r="V44" i="18"/>
  <c r="W44" i="18"/>
  <c r="U86" i="18"/>
  <c r="V86" i="18"/>
  <c r="W86" i="18"/>
  <c r="W92" i="18"/>
  <c r="U92" i="18"/>
  <c r="U93" i="18"/>
  <c r="U125" i="18"/>
  <c r="V125" i="18"/>
  <c r="W125" i="18"/>
  <c r="U126" i="18"/>
  <c r="V126" i="18"/>
  <c r="W126" i="18"/>
  <c r="Q152" i="18"/>
  <c r="U152" i="18"/>
  <c r="V152" i="18"/>
  <c r="W152" i="18"/>
  <c r="U49" i="18"/>
  <c r="V49" i="18"/>
  <c r="W49" i="18"/>
  <c r="U89" i="18"/>
  <c r="V89" i="18"/>
  <c r="W89" i="18"/>
  <c r="U11" i="18"/>
  <c r="V11" i="18"/>
  <c r="W11" i="18"/>
  <c r="U28" i="18"/>
  <c r="V28" i="18"/>
  <c r="W28" i="18"/>
  <c r="U47" i="18"/>
  <c r="V47" i="18"/>
  <c r="W47" i="18"/>
  <c r="U88" i="18"/>
  <c r="V88" i="18"/>
  <c r="W88" i="18"/>
  <c r="Q3" i="18"/>
  <c r="U3" i="18"/>
  <c r="V3" i="18"/>
  <c r="W3" i="18"/>
  <c r="Q82" i="18"/>
  <c r="U82" i="18"/>
  <c r="V82" i="18"/>
  <c r="W82" i="18"/>
  <c r="U45" i="18"/>
  <c r="V45" i="18"/>
  <c r="W45" i="18"/>
  <c r="U46" i="18"/>
  <c r="V109" i="18"/>
  <c r="W109" i="18"/>
  <c r="L121" i="7"/>
  <c r="C39" i="8"/>
  <c r="AJ43" i="10" s="1"/>
  <c r="K43" i="10" s="1"/>
  <c r="L7" i="7"/>
  <c r="AI4" i="10" s="1"/>
  <c r="J4" i="10" s="1"/>
  <c r="C3" i="8"/>
  <c r="D3" i="8" s="1"/>
  <c r="AI29" i="10"/>
  <c r="J29" i="10" s="1"/>
  <c r="C25" i="8"/>
  <c r="AJ29" i="10" s="1"/>
  <c r="K29" i="10" s="1"/>
  <c r="L98" i="7"/>
  <c r="M98" i="7" s="1"/>
  <c r="L94" i="7"/>
  <c r="M94" i="7" s="1"/>
  <c r="L96" i="7"/>
  <c r="M96" i="7" s="1"/>
  <c r="L97" i="7"/>
  <c r="M97" i="7" s="1"/>
  <c r="L6" i="7"/>
  <c r="L9" i="7"/>
  <c r="M9" i="7" s="1"/>
  <c r="L11" i="7"/>
  <c r="AI6" i="10" s="1"/>
  <c r="J6" i="10" s="1"/>
  <c r="L13" i="7"/>
  <c r="AI8" i="10" s="1"/>
  <c r="J8" i="10" s="1"/>
  <c r="L14" i="7"/>
  <c r="M14" i="7" s="1"/>
  <c r="L19" i="7"/>
  <c r="M19" i="7" s="1"/>
  <c r="L24" i="7"/>
  <c r="M24" i="7" s="1"/>
  <c r="L28" i="7"/>
  <c r="M28" i="7" s="1"/>
  <c r="L30" i="7"/>
  <c r="M30" i="7" s="1"/>
  <c r="L31" i="7"/>
  <c r="M31" i="7" s="1"/>
  <c r="L38" i="7"/>
  <c r="L39" i="7"/>
  <c r="AI17" i="10" s="1"/>
  <c r="J17" i="10" s="1"/>
  <c r="L41" i="7"/>
  <c r="M41" i="7" s="1"/>
  <c r="L42" i="7"/>
  <c r="L49" i="7"/>
  <c r="M49" i="7" s="1"/>
  <c r="L43" i="7"/>
  <c r="AI21" i="10" s="1"/>
  <c r="J21" i="10" s="1"/>
  <c r="L55" i="7"/>
  <c r="M55" i="7" s="1"/>
  <c r="L57" i="7"/>
  <c r="L64" i="7"/>
  <c r="M64" i="7" s="1"/>
  <c r="L75" i="7"/>
  <c r="M75" i="7" s="1"/>
  <c r="L87" i="7"/>
  <c r="M87" i="7" s="1"/>
  <c r="L88" i="7"/>
  <c r="AI32" i="10" s="1"/>
  <c r="J32" i="10" s="1"/>
  <c r="L93" i="7"/>
  <c r="M93" i="7" s="1"/>
  <c r="L99" i="7"/>
  <c r="L101" i="7"/>
  <c r="M101" i="7" s="1"/>
  <c r="L106" i="7"/>
  <c r="M106" i="7" s="1"/>
  <c r="L110" i="7"/>
  <c r="M110" i="7" s="1"/>
  <c r="L114" i="7"/>
  <c r="L117" i="7"/>
  <c r="M117" i="7" s="1"/>
  <c r="L120" i="7"/>
  <c r="M120" i="7" s="1"/>
  <c r="L125" i="7"/>
  <c r="M125" i="7" s="1"/>
  <c r="L129" i="7"/>
  <c r="M129" i="7" s="1"/>
  <c r="L131" i="7"/>
  <c r="M131" i="7" s="1"/>
  <c r="L20" i="7"/>
  <c r="M20" i="7" s="1"/>
  <c r="L21" i="7"/>
  <c r="M21" i="7" s="1"/>
  <c r="L67" i="7"/>
  <c r="M67" i="7" s="1"/>
  <c r="L82" i="7"/>
  <c r="M82" i="7" s="1"/>
  <c r="L68" i="7"/>
  <c r="M68" i="7" s="1"/>
  <c r="L83" i="7"/>
  <c r="M83" i="7" s="1"/>
  <c r="L91" i="7"/>
  <c r="L35" i="7"/>
  <c r="M35" i="7" s="1"/>
  <c r="L92" i="7"/>
  <c r="M92" i="7" s="1"/>
  <c r="L36" i="7"/>
  <c r="M36" i="7" s="1"/>
  <c r="L78" i="7"/>
  <c r="M78" i="7" s="1"/>
  <c r="L16" i="7"/>
  <c r="M16" i="7" s="1"/>
  <c r="L32" i="7"/>
  <c r="L118" i="7"/>
  <c r="M118" i="7" s="1"/>
  <c r="L47" i="7"/>
  <c r="M47" i="7" s="1"/>
  <c r="L79" i="7"/>
  <c r="M79" i="7" s="1"/>
  <c r="L17" i="7"/>
  <c r="M17" i="7" s="1"/>
  <c r="L33" i="7"/>
  <c r="M33" i="7" s="1"/>
  <c r="L119" i="7"/>
  <c r="L48" i="7"/>
  <c r="M48" i="7" s="1"/>
  <c r="L2" i="7"/>
  <c r="M2" i="7" s="1"/>
  <c r="L107" i="7"/>
  <c r="L103" i="7"/>
  <c r="M103" i="7" s="1"/>
  <c r="L29" i="7"/>
  <c r="L90" i="7"/>
  <c r="M90" i="7" s="1"/>
  <c r="L5" i="7"/>
  <c r="M5" i="7" s="1"/>
  <c r="L63" i="7"/>
  <c r="M63" i="7" s="1"/>
  <c r="L130" i="7"/>
  <c r="L18" i="7"/>
  <c r="M18" i="7" s="1"/>
  <c r="L53" i="7"/>
  <c r="M53" i="7" s="1"/>
  <c r="L113" i="7"/>
  <c r="M113" i="7" s="1"/>
  <c r="L100" i="7"/>
  <c r="L37" i="7"/>
  <c r="M37" i="7" s="1"/>
  <c r="L54" i="7"/>
  <c r="M54" i="7" s="1"/>
  <c r="L124" i="7"/>
  <c r="M124" i="7" s="1"/>
  <c r="L74" i="7"/>
  <c r="M74" i="7" s="1"/>
  <c r="L73" i="7"/>
  <c r="M73" i="7" s="1"/>
  <c r="L128" i="7"/>
  <c r="M128" i="7" s="1"/>
  <c r="L111" i="7"/>
  <c r="M111" i="7" s="1"/>
  <c r="L15" i="7"/>
  <c r="M15" i="7" s="1"/>
  <c r="L52" i="7"/>
  <c r="M52" i="7" s="1"/>
  <c r="L4" i="7"/>
  <c r="M4" i="7" s="1"/>
  <c r="L3" i="7"/>
  <c r="M3" i="7" s="1"/>
  <c r="L108" i="7"/>
  <c r="M108" i="7" s="1"/>
  <c r="L109" i="7"/>
  <c r="M109" i="7" s="1"/>
  <c r="L62" i="7"/>
  <c r="M62" i="7" s="1"/>
  <c r="L104" i="7"/>
  <c r="M104" i="7" s="1"/>
  <c r="L112" i="7"/>
  <c r="M112" i="7" s="1"/>
  <c r="L127" i="7"/>
  <c r="M127" i="7" s="1"/>
  <c r="L71" i="7"/>
  <c r="M71" i="7" s="1"/>
  <c r="L126" i="7"/>
  <c r="M126" i="7" s="1"/>
  <c r="L27" i="7"/>
  <c r="M27" i="7" s="1"/>
  <c r="L116" i="7"/>
  <c r="M116" i="7" s="1"/>
  <c r="L8" i="7"/>
  <c r="M8" i="7" s="1"/>
  <c r="L60" i="7"/>
  <c r="L46" i="7"/>
  <c r="M46" i="7" s="1"/>
  <c r="L77" i="7"/>
  <c r="M77" i="7" s="1"/>
  <c r="L23" i="7"/>
  <c r="M23" i="7" s="1"/>
  <c r="L25" i="7"/>
  <c r="L58" i="7"/>
  <c r="M58" i="7" s="1"/>
  <c r="L26" i="7"/>
  <c r="M26" i="7" s="1"/>
  <c r="L59" i="7"/>
  <c r="M59" i="7" s="1"/>
  <c r="L22" i="7"/>
  <c r="M22" i="7" s="1"/>
  <c r="L95" i="7"/>
  <c r="M95" i="7" s="1"/>
  <c r="C30" i="8"/>
  <c r="AJ34" i="10" s="1"/>
  <c r="K34" i="10" s="1"/>
  <c r="AK34" i="10"/>
  <c r="Q34" i="10" s="1"/>
  <c r="C12" i="8"/>
  <c r="AJ13" i="10" s="1"/>
  <c r="K13" i="10" s="1"/>
  <c r="C14" i="8"/>
  <c r="AJ16" i="10" s="1"/>
  <c r="K16" i="10" s="1"/>
  <c r="AK16" i="10"/>
  <c r="Q16" i="10" s="1"/>
  <c r="C23" i="8"/>
  <c r="AJ27" i="10" s="1"/>
  <c r="K27" i="10" s="1"/>
  <c r="AJ19" i="10"/>
  <c r="K19" i="10" s="1"/>
  <c r="C34" i="8"/>
  <c r="AJ38" i="10" s="1"/>
  <c r="K38" i="10" s="1"/>
  <c r="AI45" i="10"/>
  <c r="J45" i="10" s="1"/>
  <c r="AJ45" i="10"/>
  <c r="K45" i="10" s="1"/>
  <c r="AK45" i="10"/>
  <c r="Q45" i="10" s="1"/>
  <c r="C24" i="8"/>
  <c r="AJ28" i="10" s="1"/>
  <c r="K28" i="10" s="1"/>
  <c r="C19" i="8"/>
  <c r="AJ23" i="10" s="1"/>
  <c r="K23" i="10" s="1"/>
  <c r="H23" i="10"/>
  <c r="C10" i="8"/>
  <c r="AJ11" i="10" s="1"/>
  <c r="K11" i="10" s="1"/>
  <c r="AH48" i="10"/>
  <c r="C42" i="8"/>
  <c r="AJ48" i="10" s="1"/>
  <c r="K48" i="10" s="1"/>
  <c r="C36" i="8"/>
  <c r="AJ40" i="10" s="1"/>
  <c r="K40" i="10" s="1"/>
  <c r="C9" i="8"/>
  <c r="D9" i="8" s="1"/>
  <c r="C17" i="8"/>
  <c r="D17" i="8" s="1"/>
  <c r="C29" i="8"/>
  <c r="AJ33" i="10" s="1"/>
  <c r="K33" i="10" s="1"/>
  <c r="C21" i="8"/>
  <c r="AJ25" i="10" s="1"/>
  <c r="K25" i="10" s="1"/>
  <c r="C11" i="8"/>
  <c r="AJ12" i="10" s="1"/>
  <c r="K12" i="10" s="1"/>
  <c r="AI22" i="10"/>
  <c r="J22" i="10" s="1"/>
  <c r="AI20" i="10"/>
  <c r="J20" i="10" s="1"/>
  <c r="AI7" i="10"/>
  <c r="J7" i="10" s="1"/>
  <c r="AI44" i="10"/>
  <c r="J44" i="10" s="1"/>
  <c r="H26" i="10"/>
  <c r="E28" i="9"/>
  <c r="F28" i="9" s="1"/>
  <c r="C33" i="8"/>
  <c r="C40" i="8"/>
  <c r="AJ46" i="10" s="1"/>
  <c r="K46" i="10" s="1"/>
  <c r="C18" i="8"/>
  <c r="AJ22" i="10" s="1"/>
  <c r="K22" i="10" s="1"/>
  <c r="C22" i="8"/>
  <c r="AJ26" i="10" s="1"/>
  <c r="K26" i="10" s="1"/>
  <c r="C15" i="8"/>
  <c r="AJ17" i="10" s="1"/>
  <c r="K17" i="10" s="1"/>
  <c r="C35" i="8"/>
  <c r="AJ39" i="10" s="1"/>
  <c r="K39" i="10" s="1"/>
  <c r="C38" i="8"/>
  <c r="AJ42" i="10" s="1"/>
  <c r="K42" i="10" s="1"/>
  <c r="C5" i="8"/>
  <c r="AJ6" i="10" s="1"/>
  <c r="K6" i="10" s="1"/>
  <c r="C8" i="8"/>
  <c r="AJ15" i="10"/>
  <c r="K15" i="10" s="1"/>
  <c r="C26" i="8"/>
  <c r="AJ30" i="10" s="1"/>
  <c r="K30" i="10" s="1"/>
  <c r="C28" i="8"/>
  <c r="AJ32" i="10" s="1"/>
  <c r="K32" i="10" s="1"/>
  <c r="AK32" i="10"/>
  <c r="Q32" i="10" s="1"/>
  <c r="C7" i="8"/>
  <c r="AJ8" i="10" s="1"/>
  <c r="K8" i="10" s="1"/>
  <c r="C2" i="8"/>
  <c r="AJ2" i="10" s="1"/>
  <c r="K2" i="10" s="1"/>
  <c r="C4" i="8"/>
  <c r="C13" i="8"/>
  <c r="D13" i="8" s="1"/>
  <c r="C16" i="8"/>
  <c r="AJ18" i="10" s="1"/>
  <c r="K18" i="10" s="1"/>
  <c r="C27" i="8"/>
  <c r="AJ31" i="10" s="1"/>
  <c r="K31" i="10" s="1"/>
  <c r="C41" i="8"/>
  <c r="AJ47" i="10" s="1"/>
  <c r="K47" i="10" s="1"/>
  <c r="C32" i="8"/>
  <c r="AJ36" i="10" s="1"/>
  <c r="K36" i="10" s="1"/>
  <c r="C6" i="8"/>
  <c r="AJ7" i="10" s="1"/>
  <c r="K7" i="10" s="1"/>
  <c r="AK7" i="10"/>
  <c r="Q7" i="10" s="1"/>
  <c r="AJ20" i="10"/>
  <c r="K20" i="10" s="1"/>
  <c r="AK20" i="10"/>
  <c r="Q20" i="10" s="1"/>
  <c r="AJ44" i="10"/>
  <c r="K44" i="10" s="1"/>
  <c r="C20" i="8"/>
  <c r="AJ24" i="10" s="1"/>
  <c r="K24" i="10" s="1"/>
  <c r="C37" i="8"/>
  <c r="AJ41" i="10" s="1"/>
  <c r="K41" i="10" s="1"/>
  <c r="AB23" i="10"/>
  <c r="AB48" i="10"/>
  <c r="AB15" i="10"/>
  <c r="AB32" i="10"/>
  <c r="AB47" i="10"/>
  <c r="AB7" i="10"/>
  <c r="AB44" i="10"/>
  <c r="AA23" i="10"/>
  <c r="AA48" i="10"/>
  <c r="AA15" i="10"/>
  <c r="AA32" i="10"/>
  <c r="AA47" i="10"/>
  <c r="AA7" i="10"/>
  <c r="AA44" i="10"/>
  <c r="X35" i="10"/>
  <c r="X3" i="10"/>
  <c r="X43" i="10"/>
  <c r="X4" i="10"/>
  <c r="X29" i="10"/>
  <c r="X34" i="10"/>
  <c r="X13" i="10"/>
  <c r="X16" i="10"/>
  <c r="X27" i="10"/>
  <c r="X19" i="10"/>
  <c r="X38" i="10"/>
  <c r="X45" i="10"/>
  <c r="X28" i="10"/>
  <c r="X23" i="10"/>
  <c r="X11" i="10"/>
  <c r="X48" i="10"/>
  <c r="X40" i="10"/>
  <c r="X10" i="10"/>
  <c r="X21" i="10"/>
  <c r="X33" i="10"/>
  <c r="X25" i="10"/>
  <c r="X12" i="10"/>
  <c r="X37" i="10"/>
  <c r="X46" i="10"/>
  <c r="X22" i="10"/>
  <c r="X17" i="10"/>
  <c r="X39" i="10"/>
  <c r="X42" i="10"/>
  <c r="X6" i="10"/>
  <c r="X9" i="10"/>
  <c r="X15" i="10"/>
  <c r="X30" i="10"/>
  <c r="X32" i="10"/>
  <c r="X8" i="10"/>
  <c r="X2" i="10"/>
  <c r="X5" i="10"/>
  <c r="X14" i="10"/>
  <c r="X18" i="10"/>
  <c r="X31" i="10"/>
  <c r="X47" i="10"/>
  <c r="X36" i="10"/>
  <c r="X7" i="10"/>
  <c r="X20" i="10"/>
  <c r="X44" i="10"/>
  <c r="X24" i="10"/>
  <c r="X41" i="10"/>
  <c r="W35" i="10"/>
  <c r="W3" i="10"/>
  <c r="W43" i="10"/>
  <c r="W4" i="10"/>
  <c r="W29" i="10"/>
  <c r="W34" i="10"/>
  <c r="W13" i="10"/>
  <c r="W16" i="10"/>
  <c r="W27" i="10"/>
  <c r="W19" i="10"/>
  <c r="W38" i="10"/>
  <c r="W45" i="10"/>
  <c r="W28" i="10"/>
  <c r="W23" i="10"/>
  <c r="W11" i="10"/>
  <c r="W48" i="10"/>
  <c r="W40" i="10"/>
  <c r="W10" i="10"/>
  <c r="W21" i="10"/>
  <c r="W33" i="10"/>
  <c r="W25" i="10"/>
  <c r="W12" i="10"/>
  <c r="W37" i="10"/>
  <c r="W46" i="10"/>
  <c r="W22" i="10"/>
  <c r="W17" i="10"/>
  <c r="W39" i="10"/>
  <c r="W42" i="10"/>
  <c r="W6" i="10"/>
  <c r="W9" i="10"/>
  <c r="W15" i="10"/>
  <c r="W30" i="10"/>
  <c r="W32" i="10"/>
  <c r="W8" i="10"/>
  <c r="W2" i="10"/>
  <c r="W5" i="10"/>
  <c r="W14" i="10"/>
  <c r="W18" i="10"/>
  <c r="W31" i="10"/>
  <c r="W47" i="10"/>
  <c r="W36" i="10"/>
  <c r="W7" i="10"/>
  <c r="W20" i="10"/>
  <c r="W44" i="10"/>
  <c r="W24" i="10"/>
  <c r="W41" i="10"/>
  <c r="S35" i="10"/>
  <c r="S3" i="10"/>
  <c r="S43" i="10"/>
  <c r="S4" i="10"/>
  <c r="S29" i="10"/>
  <c r="S34" i="10"/>
  <c r="S13" i="10"/>
  <c r="S16" i="10"/>
  <c r="S27" i="10"/>
  <c r="S19" i="10"/>
  <c r="S38" i="10"/>
  <c r="S45" i="10"/>
  <c r="S28" i="10"/>
  <c r="S23" i="10"/>
  <c r="S11" i="10"/>
  <c r="S48" i="10"/>
  <c r="S40" i="10"/>
  <c r="S10" i="10"/>
  <c r="S21" i="10"/>
  <c r="S33" i="10"/>
  <c r="S25" i="10"/>
  <c r="S12" i="10"/>
  <c r="S37" i="10"/>
  <c r="S46" i="10"/>
  <c r="S22" i="10"/>
  <c r="S17" i="10"/>
  <c r="S39" i="10"/>
  <c r="S42" i="10"/>
  <c r="S6" i="10"/>
  <c r="S9" i="10"/>
  <c r="S15" i="10"/>
  <c r="S30" i="10"/>
  <c r="S32" i="10"/>
  <c r="S8" i="10"/>
  <c r="S2" i="10"/>
  <c r="S5" i="10"/>
  <c r="S14" i="10"/>
  <c r="S18" i="10"/>
  <c r="S31" i="10"/>
  <c r="S47" i="10"/>
  <c r="S36" i="10"/>
  <c r="S7" i="10"/>
  <c r="S20" i="10"/>
  <c r="S44" i="10"/>
  <c r="S24" i="10"/>
  <c r="S41" i="10"/>
  <c r="R35" i="10"/>
  <c r="R3" i="10"/>
  <c r="R43" i="10"/>
  <c r="R4" i="10"/>
  <c r="R29" i="10"/>
  <c r="R34" i="10"/>
  <c r="R13" i="10"/>
  <c r="R16" i="10"/>
  <c r="R27" i="10"/>
  <c r="R19" i="10"/>
  <c r="R38" i="10"/>
  <c r="R45" i="10"/>
  <c r="R28" i="10"/>
  <c r="R23" i="10"/>
  <c r="R11" i="10"/>
  <c r="R48" i="10"/>
  <c r="R40" i="10"/>
  <c r="R10" i="10"/>
  <c r="R21" i="10"/>
  <c r="R33" i="10"/>
  <c r="R25" i="10"/>
  <c r="R12" i="10"/>
  <c r="R37" i="10"/>
  <c r="R46" i="10"/>
  <c r="R22" i="10"/>
  <c r="R17" i="10"/>
  <c r="R39" i="10"/>
  <c r="R42" i="10"/>
  <c r="R6" i="10"/>
  <c r="R9" i="10"/>
  <c r="R15" i="10"/>
  <c r="R30" i="10"/>
  <c r="R32" i="10"/>
  <c r="R8" i="10"/>
  <c r="R2" i="10"/>
  <c r="R5" i="10"/>
  <c r="R14" i="10"/>
  <c r="R18" i="10"/>
  <c r="R31" i="10"/>
  <c r="R47" i="10"/>
  <c r="R36" i="10"/>
  <c r="R7" i="10"/>
  <c r="R20" i="10"/>
  <c r="R44" i="10"/>
  <c r="R24" i="10"/>
  <c r="R41" i="10"/>
  <c r="M35" i="10"/>
  <c r="M3" i="10"/>
  <c r="M43" i="10"/>
  <c r="M4" i="10"/>
  <c r="M29" i="10"/>
  <c r="M34" i="10"/>
  <c r="M13" i="10"/>
  <c r="M16" i="10"/>
  <c r="M27" i="10"/>
  <c r="M19" i="10"/>
  <c r="M38" i="10"/>
  <c r="M45" i="10"/>
  <c r="M28" i="10"/>
  <c r="M23" i="10"/>
  <c r="M11" i="10"/>
  <c r="M48" i="10"/>
  <c r="M40" i="10"/>
  <c r="M10" i="10"/>
  <c r="M21" i="10"/>
  <c r="M33" i="10"/>
  <c r="M25" i="10"/>
  <c r="M12" i="10"/>
  <c r="M37" i="10"/>
  <c r="M46" i="10"/>
  <c r="M22" i="10"/>
  <c r="M17" i="10"/>
  <c r="M39" i="10"/>
  <c r="M42" i="10"/>
  <c r="M6" i="10"/>
  <c r="M9" i="10"/>
  <c r="M15" i="10"/>
  <c r="M30" i="10"/>
  <c r="M32" i="10"/>
  <c r="M8" i="10"/>
  <c r="M2" i="10"/>
  <c r="M5" i="10"/>
  <c r="M14" i="10"/>
  <c r="M18" i="10"/>
  <c r="M31" i="10"/>
  <c r="M47" i="10"/>
  <c r="M36" i="10"/>
  <c r="M7" i="10"/>
  <c r="M20" i="10"/>
  <c r="M44" i="10"/>
  <c r="M24" i="10"/>
  <c r="M41" i="10"/>
  <c r="N35" i="10"/>
  <c r="N3" i="10"/>
  <c r="N43" i="10"/>
  <c r="N4" i="10"/>
  <c r="N29" i="10"/>
  <c r="N34" i="10"/>
  <c r="N13" i="10"/>
  <c r="N16" i="10"/>
  <c r="N27" i="10"/>
  <c r="N19" i="10"/>
  <c r="N38" i="10"/>
  <c r="N45" i="10"/>
  <c r="N28" i="10"/>
  <c r="N23" i="10"/>
  <c r="N11" i="10"/>
  <c r="N48" i="10"/>
  <c r="N40" i="10"/>
  <c r="N10" i="10"/>
  <c r="N21" i="10"/>
  <c r="N33" i="10"/>
  <c r="N25" i="10"/>
  <c r="N12" i="10"/>
  <c r="N37" i="10"/>
  <c r="N46" i="10"/>
  <c r="N22" i="10"/>
  <c r="N17" i="10"/>
  <c r="N39" i="10"/>
  <c r="N42" i="10"/>
  <c r="N6" i="10"/>
  <c r="N9" i="10"/>
  <c r="N15" i="10"/>
  <c r="N30" i="10"/>
  <c r="N32" i="10"/>
  <c r="N8" i="10"/>
  <c r="N2" i="10"/>
  <c r="N5" i="10"/>
  <c r="N14" i="10"/>
  <c r="N18" i="10"/>
  <c r="N31" i="10"/>
  <c r="N47" i="10"/>
  <c r="N36" i="10"/>
  <c r="N7" i="10"/>
  <c r="N20" i="10"/>
  <c r="N44" i="10"/>
  <c r="N24" i="10"/>
  <c r="N41" i="10"/>
  <c r="H52" i="10"/>
  <c r="O23" i="10"/>
  <c r="O32" i="10"/>
  <c r="O7" i="10"/>
  <c r="O15" i="10"/>
  <c r="O44" i="10"/>
  <c r="O47" i="10"/>
  <c r="O48" i="10"/>
  <c r="P23" i="10"/>
  <c r="P32" i="10"/>
  <c r="P7" i="10"/>
  <c r="P15" i="10"/>
  <c r="P44" i="10"/>
  <c r="P47" i="10"/>
  <c r="P48" i="10"/>
  <c r="T23" i="10"/>
  <c r="T32" i="10"/>
  <c r="T7" i="10"/>
  <c r="T15" i="10"/>
  <c r="T44" i="10"/>
  <c r="T47" i="10"/>
  <c r="T48" i="10"/>
  <c r="U23" i="10"/>
  <c r="U32" i="10"/>
  <c r="U7" i="10"/>
  <c r="U15" i="10"/>
  <c r="U44" i="10"/>
  <c r="U47" i="10"/>
  <c r="U48" i="10"/>
  <c r="AC23" i="10"/>
  <c r="AC32" i="10"/>
  <c r="AC7" i="10"/>
  <c r="AC15" i="10"/>
  <c r="AC44" i="10"/>
  <c r="AC47" i="10"/>
  <c r="AC48" i="10"/>
  <c r="AD23" i="10"/>
  <c r="AD32" i="10"/>
  <c r="AD7" i="10"/>
  <c r="AD15" i="10"/>
  <c r="AD44" i="10"/>
  <c r="AD47" i="10"/>
  <c r="AD48" i="10"/>
  <c r="Y23" i="10"/>
  <c r="Y32" i="10"/>
  <c r="Y7" i="10"/>
  <c r="Y15" i="10"/>
  <c r="Y44" i="10"/>
  <c r="Y47" i="10"/>
  <c r="Y48" i="10"/>
  <c r="Z23" i="10"/>
  <c r="Z32" i="10"/>
  <c r="Z7" i="10"/>
  <c r="Z15" i="10"/>
  <c r="Z44" i="10"/>
  <c r="Z47" i="10"/>
  <c r="Z48" i="10"/>
  <c r="D14" i="8"/>
  <c r="D40" i="8"/>
  <c r="D24" i="8"/>
  <c r="D12" i="8"/>
  <c r="D31" i="8"/>
  <c r="P146" i="18"/>
  <c r="P145" i="18"/>
  <c r="W91" i="18"/>
  <c r="Q5" i="18"/>
  <c r="Q7" i="18"/>
  <c r="W40" i="18"/>
  <c r="V40" i="18"/>
  <c r="Q37" i="18"/>
  <c r="P49" i="18"/>
  <c r="W101" i="18"/>
  <c r="U8" i="18"/>
  <c r="W25" i="18"/>
  <c r="V25" i="18"/>
  <c r="W99" i="18"/>
  <c r="D36" i="8" l="1"/>
  <c r="D5" i="8"/>
  <c r="D25" i="8"/>
  <c r="D29" i="8"/>
  <c r="D23" i="8"/>
  <c r="AH17" i="18"/>
  <c r="V17" i="18" s="1"/>
  <c r="AL32" i="18"/>
  <c r="F38" i="18"/>
  <c r="AI27" i="18"/>
  <c r="AD9" i="18"/>
  <c r="AE6" i="18"/>
  <c r="AK6" i="18"/>
  <c r="AF6" i="18"/>
  <c r="T6" i="18" s="1"/>
  <c r="AC6" i="18"/>
  <c r="AJ6" i="18"/>
  <c r="F6" i="18"/>
  <c r="AG6" i="18"/>
  <c r="AH6" i="18"/>
  <c r="E6" i="18"/>
  <c r="G6" i="18"/>
  <c r="AL6" i="18"/>
  <c r="AD6" i="18"/>
  <c r="AI6" i="18"/>
  <c r="D11" i="8"/>
  <c r="D7" i="8"/>
  <c r="D6" i="8"/>
  <c r="D28" i="8"/>
  <c r="D42" i="8"/>
  <c r="D27" i="8"/>
  <c r="D38" i="8"/>
  <c r="D22" i="8"/>
  <c r="AJ21" i="10"/>
  <c r="K21" i="10" s="1"/>
  <c r="D21" i="8"/>
  <c r="D39" i="8"/>
  <c r="AJ14" i="10"/>
  <c r="K14" i="10" s="1"/>
  <c r="D37" i="8"/>
  <c r="AK6" i="10"/>
  <c r="Q6" i="10" s="1"/>
  <c r="U6" i="10" s="1"/>
  <c r="AK47" i="10"/>
  <c r="Q47" i="10" s="1"/>
  <c r="M88" i="7"/>
  <c r="D20" i="8"/>
  <c r="AJ10" i="10"/>
  <c r="K10" i="10" s="1"/>
  <c r="D15" i="8"/>
  <c r="D26" i="8"/>
  <c r="D32" i="8"/>
  <c r="D34" i="8"/>
  <c r="D10" i="8"/>
  <c r="AJ4" i="10"/>
  <c r="K4" i="10" s="1"/>
  <c r="K52" i="10" s="1"/>
  <c r="D41" i="8"/>
  <c r="D2" i="8"/>
  <c r="D35" i="8"/>
  <c r="D19" i="8"/>
  <c r="D30" i="8"/>
  <c r="AI13" i="10"/>
  <c r="J13" i="10" s="1"/>
  <c r="AI9" i="10"/>
  <c r="J9" i="10" s="1"/>
  <c r="AI25" i="10"/>
  <c r="J25" i="10" s="1"/>
  <c r="M29" i="7"/>
  <c r="M57" i="7"/>
  <c r="M13" i="7"/>
  <c r="M39" i="7"/>
  <c r="M7" i="7"/>
  <c r="AI17" i="18"/>
  <c r="AK14" i="10"/>
  <c r="Q14" i="10" s="1"/>
  <c r="U14" i="10" s="1"/>
  <c r="AK21" i="10"/>
  <c r="Q21" i="10" s="1"/>
  <c r="U21" i="10" s="1"/>
  <c r="AK9" i="10"/>
  <c r="Q9" i="10" s="1"/>
  <c r="U9" i="10" s="1"/>
  <c r="AK44" i="10"/>
  <c r="Q44" i="10" s="1"/>
  <c r="AK17" i="10"/>
  <c r="Q17" i="10" s="1"/>
  <c r="U17" i="10" s="1"/>
  <c r="AH18" i="18"/>
  <c r="V18" i="18" s="1"/>
  <c r="S18" i="18" s="1"/>
  <c r="AI15" i="10"/>
  <c r="J15" i="10" s="1"/>
  <c r="AK33" i="10"/>
  <c r="Q33" i="10" s="1"/>
  <c r="U33" i="10" s="1"/>
  <c r="M43" i="7"/>
  <c r="AI27" i="10"/>
  <c r="J27" i="10" s="1"/>
  <c r="AI11" i="10"/>
  <c r="J11" i="10" s="1"/>
  <c r="AI18" i="10"/>
  <c r="J18" i="10" s="1"/>
  <c r="AI47" i="10"/>
  <c r="J47" i="10" s="1"/>
  <c r="AI41" i="10"/>
  <c r="J41" i="10" s="1"/>
  <c r="AI14" i="10"/>
  <c r="J14" i="10" s="1"/>
  <c r="M11" i="7"/>
  <c r="AI5" i="10"/>
  <c r="J5" i="10" s="1"/>
  <c r="M32" i="7"/>
  <c r="AI24" i="10"/>
  <c r="J24" i="10" s="1"/>
  <c r="AI10" i="10"/>
  <c r="J10" i="10" s="1"/>
  <c r="AI30" i="10"/>
  <c r="J30" i="10" s="1"/>
  <c r="AI23" i="10"/>
  <c r="J23" i="10" s="1"/>
  <c r="AI34" i="10"/>
  <c r="J34" i="10" s="1"/>
  <c r="G63" i="18"/>
  <c r="AG46" i="18"/>
  <c r="G37" i="18"/>
  <c r="AL36" i="18"/>
  <c r="F37" i="18"/>
  <c r="E18" i="18"/>
  <c r="AL38" i="18"/>
  <c r="AE18" i="18"/>
  <c r="G17" i="18"/>
  <c r="G35" i="18"/>
  <c r="AJ67" i="18"/>
  <c r="AI43" i="10"/>
  <c r="J43" i="10" s="1"/>
  <c r="J52" i="10" s="1"/>
  <c r="M121" i="7"/>
  <c r="M102" i="7"/>
  <c r="AI38" i="10"/>
  <c r="J38" i="10" s="1"/>
  <c r="D16" i="8"/>
  <c r="AD38" i="18"/>
  <c r="AF38" i="18"/>
  <c r="T38" i="18" s="1"/>
  <c r="AC38" i="18"/>
  <c r="AJ38" i="18"/>
  <c r="AG38" i="18"/>
  <c r="AK38" i="18"/>
  <c r="E38" i="18"/>
  <c r="G38" i="18"/>
  <c r="M65" i="7"/>
  <c r="AI28" i="10"/>
  <c r="J28" i="10" s="1"/>
  <c r="AJ9" i="10"/>
  <c r="K9" i="10" s="1"/>
  <c r="D8" i="8"/>
  <c r="AJ37" i="10"/>
  <c r="K37" i="10" s="1"/>
  <c r="D33" i="8"/>
  <c r="AD52" i="18"/>
  <c r="E52" i="18"/>
  <c r="AE52" i="18"/>
  <c r="G52" i="18"/>
  <c r="AF52" i="18"/>
  <c r="T52" i="18" s="1"/>
  <c r="AH52" i="18"/>
  <c r="AG52" i="18"/>
  <c r="F52" i="18"/>
  <c r="G32" i="18"/>
  <c r="D18" i="8"/>
  <c r="AH38" i="18"/>
  <c r="M122" i="7"/>
  <c r="AI46" i="10"/>
  <c r="J46" i="10" s="1"/>
  <c r="AE87" i="18"/>
  <c r="AG87" i="18"/>
  <c r="AC87" i="18"/>
  <c r="F87" i="18"/>
  <c r="AK83" i="18"/>
  <c r="AI83" i="18"/>
  <c r="G83" i="18"/>
  <c r="AK87" i="18"/>
  <c r="AD87" i="18"/>
  <c r="AJ83" i="18"/>
  <c r="AF83" i="18"/>
  <c r="T83" i="18" s="1"/>
  <c r="F83" i="18"/>
  <c r="AH87" i="18"/>
  <c r="AI87" i="18"/>
  <c r="AL87" i="18"/>
  <c r="E83" i="18"/>
  <c r="AG83" i="18"/>
  <c r="AD83" i="18"/>
  <c r="AF87" i="18"/>
  <c r="T87" i="18" s="1"/>
  <c r="E87" i="18"/>
  <c r="AJ87" i="18"/>
  <c r="G87" i="18"/>
  <c r="AC83" i="18"/>
  <c r="AL83" i="18"/>
  <c r="AE83" i="18"/>
  <c r="AH83" i="18"/>
  <c r="AH2" i="18"/>
  <c r="AC58" i="18"/>
  <c r="AG37" i="18"/>
  <c r="AE67" i="18"/>
  <c r="AH67" i="18"/>
  <c r="V67" i="18" s="1"/>
  <c r="S67" i="18" s="1"/>
  <c r="AH19" i="18"/>
  <c r="W19" i="18" s="1"/>
  <c r="AF18" i="18"/>
  <c r="T18" i="18" s="1"/>
  <c r="AF53" i="18"/>
  <c r="T53" i="18" s="1"/>
  <c r="AL37" i="18"/>
  <c r="AK18" i="18"/>
  <c r="AL53" i="18"/>
  <c r="AG36" i="18"/>
  <c r="AD19" i="18"/>
  <c r="AF67" i="18"/>
  <c r="T67" i="18" s="1"/>
  <c r="AH39" i="18"/>
  <c r="AG54" i="18"/>
  <c r="AC18" i="18"/>
  <c r="AC53" i="18"/>
  <c r="AE34" i="18"/>
  <c r="AJ28" i="18"/>
  <c r="AL65" i="18"/>
  <c r="AL18" i="18"/>
  <c r="AL22" i="18"/>
  <c r="AH36" i="18"/>
  <c r="E67" i="18"/>
  <c r="E46" i="18"/>
  <c r="G67" i="18"/>
  <c r="F18" i="18"/>
  <c r="F67" i="18"/>
  <c r="F36" i="18"/>
  <c r="F16" i="18"/>
  <c r="AF23" i="18"/>
  <c r="T23" i="18" s="1"/>
  <c r="AI19" i="18"/>
  <c r="AC67" i="18"/>
  <c r="AH54" i="18"/>
  <c r="V54" i="18" s="1"/>
  <c r="S54" i="18" s="1"/>
  <c r="AJ18" i="18"/>
  <c r="AG18" i="18"/>
  <c r="AC46" i="18"/>
  <c r="AL54" i="18"/>
  <c r="AK36" i="18"/>
  <c r="E59" i="18"/>
  <c r="F2" i="18"/>
  <c r="F63" i="18"/>
  <c r="G13" i="18"/>
  <c r="G36" i="18"/>
  <c r="G16" i="18"/>
  <c r="F54" i="18"/>
  <c r="AI32" i="18"/>
  <c r="AF32" i="18"/>
  <c r="T32" i="18" s="1"/>
  <c r="AG32" i="18"/>
  <c r="AC32" i="18"/>
  <c r="AH32" i="18"/>
  <c r="V32" i="18" s="1"/>
  <c r="S32" i="18" s="1"/>
  <c r="E32" i="18"/>
  <c r="AJ32" i="18"/>
  <c r="AK32" i="18"/>
  <c r="AI35" i="18"/>
  <c r="AG35" i="18"/>
  <c r="E35" i="18"/>
  <c r="AE35" i="18"/>
  <c r="AH35" i="18"/>
  <c r="F35" i="18"/>
  <c r="AF35" i="18"/>
  <c r="T35" i="18" s="1"/>
  <c r="AF17" i="18"/>
  <c r="T17" i="18" s="1"/>
  <c r="AL17" i="18"/>
  <c r="E17" i="18"/>
  <c r="AC17" i="18"/>
  <c r="AG17" i="18"/>
  <c r="F32" i="18"/>
  <c r="F17" i="18"/>
  <c r="AL35" i="18"/>
  <c r="AL52" i="18"/>
  <c r="AJ5" i="10"/>
  <c r="K5" i="10" s="1"/>
  <c r="D4" i="8"/>
  <c r="R26" i="10"/>
  <c r="S26" i="10"/>
  <c r="S51" i="10" s="1"/>
  <c r="H51" i="10"/>
  <c r="AI31" i="10"/>
  <c r="J31" i="10" s="1"/>
  <c r="M25" i="7"/>
  <c r="AI12" i="10"/>
  <c r="J12" i="10" s="1"/>
  <c r="AI26" i="10"/>
  <c r="J26" i="10" s="1"/>
  <c r="M60" i="7"/>
  <c r="AI37" i="10"/>
  <c r="J37" i="10" s="1"/>
  <c r="M100" i="7"/>
  <c r="AI48" i="10"/>
  <c r="J48" i="10" s="1"/>
  <c r="M130" i="7"/>
  <c r="AI39" i="10"/>
  <c r="J39" i="10" s="1"/>
  <c r="M107" i="7"/>
  <c r="AI42" i="10"/>
  <c r="J42" i="10" s="1"/>
  <c r="M119" i="7"/>
  <c r="AI33" i="10"/>
  <c r="J33" i="10" s="1"/>
  <c r="M91" i="7"/>
  <c r="M114" i="7"/>
  <c r="AI40" i="10"/>
  <c r="J40" i="10" s="1"/>
  <c r="AI36" i="10"/>
  <c r="J36" i="10" s="1"/>
  <c r="M99" i="7"/>
  <c r="AI19" i="10"/>
  <c r="J19" i="10" s="1"/>
  <c r="M42" i="7"/>
  <c r="AI16" i="10"/>
  <c r="J16" i="10" s="1"/>
  <c r="M38" i="7"/>
  <c r="AI2" i="10"/>
  <c r="J2" i="10" s="1"/>
  <c r="M6" i="7"/>
  <c r="AE38" i="18"/>
  <c r="AE17" i="18"/>
  <c r="AE32" i="18"/>
  <c r="AD28" i="18"/>
  <c r="AD18" i="18"/>
  <c r="AD61" i="18"/>
  <c r="AD67" i="18"/>
  <c r="AI8" i="18"/>
  <c r="AD10" i="18"/>
  <c r="AG58" i="18"/>
  <c r="AD41" i="18"/>
  <c r="AD25" i="18"/>
  <c r="AC7" i="18"/>
  <c r="P67" i="16"/>
  <c r="AL68" i="18" s="1"/>
  <c r="AD46" i="18"/>
  <c r="AD36" i="18"/>
  <c r="AD44" i="18"/>
  <c r="AD63" i="18"/>
  <c r="R63" i="18" s="1"/>
  <c r="AD34" i="18"/>
  <c r="AD42" i="18"/>
  <c r="AD16" i="18"/>
  <c r="AI65" i="18"/>
  <c r="AD59" i="18"/>
  <c r="AD55" i="18"/>
  <c r="AD51" i="18"/>
  <c r="AD30" i="18"/>
  <c r="F64" i="18"/>
  <c r="AH56" i="18"/>
  <c r="V56" i="18" s="1"/>
  <c r="AF47" i="18"/>
  <c r="T47" i="18" s="1"/>
  <c r="AI39" i="18"/>
  <c r="G31" i="18"/>
  <c r="G23" i="18"/>
  <c r="AC13" i="18"/>
  <c r="E5" i="18"/>
  <c r="AJ48" i="18"/>
  <c r="P71" i="16"/>
  <c r="AH22" i="18"/>
  <c r="AD49" i="18"/>
  <c r="AD26" i="18"/>
  <c r="AD53" i="18"/>
  <c r="AD40" i="18"/>
  <c r="AD20" i="18"/>
  <c r="AI12" i="18"/>
  <c r="AD62" i="18"/>
  <c r="AD54" i="18"/>
  <c r="AD45" i="18"/>
  <c r="AD37" i="18"/>
  <c r="AH29" i="18"/>
  <c r="E19" i="18"/>
  <c r="AD11" i="18"/>
  <c r="AJ2" i="18"/>
  <c r="AG59" i="18"/>
  <c r="AF36" i="18"/>
  <c r="T36" i="18" s="1"/>
  <c r="F4" i="18"/>
  <c r="AF24" i="18"/>
  <c r="T24" i="18" s="1"/>
  <c r="R24" i="18" s="1"/>
  <c r="AF41" i="18"/>
  <c r="T41" i="18" s="1"/>
  <c r="AG25" i="18"/>
  <c r="AE41" i="18"/>
  <c r="AC25" i="18"/>
  <c r="G7" i="18"/>
  <c r="AG60" i="18"/>
  <c r="AC9" i="18"/>
  <c r="G43" i="18"/>
  <c r="AK24" i="18"/>
  <c r="AL25" i="18"/>
  <c r="AC27" i="18"/>
  <c r="AJ8" i="18"/>
  <c r="AH43" i="18"/>
  <c r="E7" i="18"/>
  <c r="AF57" i="18"/>
  <c r="T57" i="18" s="1"/>
  <c r="AC60" i="18"/>
  <c r="AI9" i="18"/>
  <c r="F60" i="18"/>
  <c r="AF9" i="18"/>
  <c r="T9" i="18" s="1"/>
  <c r="AE57" i="18"/>
  <c r="AF27" i="18"/>
  <c r="T27" i="18" s="1"/>
  <c r="F7" i="18"/>
  <c r="F43" i="18"/>
  <c r="G24" i="18"/>
  <c r="G41" i="18"/>
  <c r="E58" i="18"/>
  <c r="AH9" i="18"/>
  <c r="AL27" i="18"/>
  <c r="AE9" i="18"/>
  <c r="AJ57" i="18"/>
  <c r="AJ24" i="18"/>
  <c r="AE60" i="18"/>
  <c r="AE58" i="18"/>
  <c r="AE27" i="18"/>
  <c r="AF4" i="18"/>
  <c r="AC43" i="18"/>
  <c r="AF25" i="18"/>
  <c r="T25" i="18" s="1"/>
  <c r="AE24" i="18"/>
  <c r="AF60" i="18"/>
  <c r="T60" i="18" s="1"/>
  <c r="R60" i="18" s="1"/>
  <c r="AL41" i="18"/>
  <c r="AE4" i="18"/>
  <c r="AF43" i="18"/>
  <c r="T43" i="18" s="1"/>
  <c r="AE25" i="18"/>
  <c r="AI41" i="18"/>
  <c r="AH7" i="18"/>
  <c r="F24" i="18"/>
  <c r="E57" i="18"/>
  <c r="AL9" i="18"/>
  <c r="G58" i="18"/>
  <c r="F41" i="18"/>
  <c r="G9" i="18"/>
  <c r="G25" i="18"/>
  <c r="E41" i="18"/>
  <c r="E60" i="18"/>
  <c r="AL7" i="18"/>
  <c r="AL58" i="18"/>
  <c r="AJ4" i="18"/>
  <c r="X4" i="18" s="1"/>
  <c r="AE43" i="18"/>
  <c r="AI58" i="18"/>
  <c r="AG7" i="18"/>
  <c r="AC4" i="18"/>
  <c r="F9" i="18"/>
  <c r="G4" i="18"/>
  <c r="G57" i="18"/>
  <c r="E24" i="18"/>
  <c r="E43" i="18"/>
  <c r="AL57" i="18"/>
  <c r="AL43" i="18"/>
  <c r="AL4" i="18"/>
  <c r="AH57" i="18"/>
  <c r="V57" i="18" s="1"/>
  <c r="S57" i="18" s="1"/>
  <c r="AH24" i="18"/>
  <c r="V24" i="18" s="1"/>
  <c r="AH41" i="18"/>
  <c r="AI43" i="18"/>
  <c r="AF7" i="18"/>
  <c r="T7" i="18" s="1"/>
  <c r="R7" i="18" s="1"/>
  <c r="G60" i="18"/>
  <c r="F61" i="18"/>
  <c r="E25" i="18"/>
  <c r="AL60" i="18"/>
  <c r="AK57" i="18"/>
  <c r="AK4" i="18"/>
  <c r="AG57" i="18"/>
  <c r="AG24" i="18"/>
  <c r="AE61" i="18"/>
  <c r="AG41" i="18"/>
  <c r="AH58" i="18"/>
  <c r="AH27" i="18"/>
  <c r="AH4" i="18"/>
  <c r="AI25" i="18"/>
  <c r="E9" i="18"/>
  <c r="AL21" i="18"/>
  <c r="G27" i="18"/>
  <c r="F27" i="18"/>
  <c r="AG9" i="18"/>
  <c r="F25" i="18"/>
  <c r="F58" i="18"/>
  <c r="F57" i="18"/>
  <c r="E4" i="18"/>
  <c r="E27" i="18"/>
  <c r="AH60" i="18"/>
  <c r="V60" i="18" s="1"/>
  <c r="S60" i="18" s="1"/>
  <c r="AL24" i="18"/>
  <c r="AG4" i="18"/>
  <c r="AC57" i="18"/>
  <c r="AC24" i="18"/>
  <c r="AC41" i="18"/>
  <c r="AG27" i="18"/>
  <c r="AF55" i="18"/>
  <c r="T55" i="18" s="1"/>
  <c r="AI7" i="18"/>
  <c r="N26" i="10"/>
  <c r="N51" i="10" s="1"/>
  <c r="W26" i="10"/>
  <c r="W51" i="10" s="1"/>
  <c r="M26" i="10"/>
  <c r="X26" i="10"/>
  <c r="X51" i="10" s="1"/>
  <c r="AK26" i="10"/>
  <c r="Q26" i="10" s="1"/>
  <c r="AH11" i="18"/>
  <c r="AH12" i="18"/>
  <c r="AG29" i="18"/>
  <c r="F62" i="18"/>
  <c r="AC29" i="18"/>
  <c r="AL20" i="18"/>
  <c r="AI20" i="18"/>
  <c r="AK12" i="18"/>
  <c r="AC62" i="18"/>
  <c r="AI29" i="18"/>
  <c r="AG62" i="18"/>
  <c r="AJ20" i="18"/>
  <c r="G62" i="18"/>
  <c r="F20" i="18"/>
  <c r="F11" i="18"/>
  <c r="E20" i="18"/>
  <c r="AL62" i="18"/>
  <c r="AK20" i="18"/>
  <c r="AG12" i="18"/>
  <c r="AH45" i="18"/>
  <c r="AG11" i="18"/>
  <c r="AF26" i="18"/>
  <c r="T26" i="18" s="1"/>
  <c r="AF29" i="18"/>
  <c r="T29" i="18" s="1"/>
  <c r="AF62" i="18"/>
  <c r="T62" i="18" s="1"/>
  <c r="AF65" i="18"/>
  <c r="T65" i="18" s="1"/>
  <c r="AL45" i="18"/>
  <c r="AH20" i="18"/>
  <c r="AG45" i="18"/>
  <c r="AC11" i="18"/>
  <c r="AE29" i="18"/>
  <c r="AE62" i="18"/>
  <c r="AF16" i="18"/>
  <c r="T16" i="18" s="1"/>
  <c r="AC45" i="18"/>
  <c r="AF11" i="18"/>
  <c r="T11" i="18" s="1"/>
  <c r="AC12" i="18"/>
  <c r="AI62" i="18"/>
  <c r="AD29" i="18"/>
  <c r="F29" i="18"/>
  <c r="F45" i="18"/>
  <c r="AG20" i="18"/>
  <c r="G45" i="18"/>
  <c r="AF45" i="18"/>
  <c r="T45" i="18" s="1"/>
  <c r="AE11" i="18"/>
  <c r="AJ40" i="18"/>
  <c r="AC20" i="18"/>
  <c r="AF12" i="18"/>
  <c r="T12" i="18" s="1"/>
  <c r="AH25" i="18"/>
  <c r="AI45" i="18"/>
  <c r="AI21" i="18"/>
  <c r="AE7" i="18"/>
  <c r="G40" i="18"/>
  <c r="G11" i="18"/>
  <c r="G29" i="18"/>
  <c r="F40" i="18"/>
  <c r="F12" i="18"/>
  <c r="E11" i="18"/>
  <c r="E45" i="18"/>
  <c r="E62" i="18"/>
  <c r="AE45" i="18"/>
  <c r="AF20" i="18"/>
  <c r="T20" i="18" s="1"/>
  <c r="AE12" i="18"/>
  <c r="G12" i="18"/>
  <c r="G20" i="18"/>
  <c r="E12" i="18"/>
  <c r="E29" i="18"/>
  <c r="AL29" i="18"/>
  <c r="AL11" i="18"/>
  <c r="AL12" i="18"/>
  <c r="AC3" i="18"/>
  <c r="AH62" i="18"/>
  <c r="AE20" i="18"/>
  <c r="AJ12" i="18"/>
  <c r="AI11" i="18"/>
  <c r="AE41" i="10" s="1"/>
  <c r="AF41" i="10" s="1"/>
  <c r="AE23" i="18"/>
  <c r="AL56" i="18"/>
  <c r="AG5" i="18"/>
  <c r="AE55" i="18"/>
  <c r="AI5" i="18"/>
  <c r="AC23" i="18"/>
  <c r="G54" i="18"/>
  <c r="F53" i="18"/>
  <c r="G19" i="18"/>
  <c r="F56" i="18"/>
  <c r="G55" i="18"/>
  <c r="E37" i="18"/>
  <c r="E53" i="18"/>
  <c r="AL46" i="18"/>
  <c r="AK53" i="18"/>
  <c r="AF46" i="18"/>
  <c r="T46" i="18" s="1"/>
  <c r="AE53" i="18"/>
  <c r="AF56" i="18"/>
  <c r="T56" i="18" s="1"/>
  <c r="AC54" i="18"/>
  <c r="AC39" i="18"/>
  <c r="AG19" i="18"/>
  <c r="AF37" i="18"/>
  <c r="T37" i="18" s="1"/>
  <c r="AF59" i="18"/>
  <c r="T59" i="18" s="1"/>
  <c r="AC5" i="18"/>
  <c r="AJ55" i="18"/>
  <c r="AC36" i="18"/>
  <c r="AC2" i="18"/>
  <c r="AI60" i="18"/>
  <c r="AD2" i="18"/>
  <c r="AE46" i="18"/>
  <c r="AH28" i="18"/>
  <c r="AE56" i="18"/>
  <c r="AF54" i="18"/>
  <c r="T54" i="18" s="1"/>
  <c r="AF39" i="18"/>
  <c r="T39" i="18" s="1"/>
  <c r="AC19" i="18"/>
  <c r="AE37" i="18"/>
  <c r="AE59" i="18"/>
  <c r="AF5" i="18"/>
  <c r="T5" i="18" s="1"/>
  <c r="AF2" i="18"/>
  <c r="T2" i="18" s="1"/>
  <c r="AI2" i="18"/>
  <c r="AK66" i="18"/>
  <c r="AK50" i="18"/>
  <c r="AK33" i="18"/>
  <c r="AK15" i="18"/>
  <c r="AJ46" i="18"/>
  <c r="AG28" i="18"/>
  <c r="AE54" i="18"/>
  <c r="AE39" i="18"/>
  <c r="AF19" i="18"/>
  <c r="T19" i="18" s="1"/>
  <c r="AJ59" i="18"/>
  <c r="AE5" i="18"/>
  <c r="AJ36" i="18"/>
  <c r="AE2" i="18"/>
  <c r="AI46" i="18"/>
  <c r="AI18" i="18"/>
  <c r="AI37" i="18"/>
  <c r="AK67" i="18"/>
  <c r="G59" i="18"/>
  <c r="AC59" i="18"/>
  <c r="E23" i="18"/>
  <c r="F5" i="18"/>
  <c r="AK46" i="18"/>
  <c r="AD23" i="18"/>
  <c r="F46" i="18"/>
  <c r="G28" i="18"/>
  <c r="G39" i="18"/>
  <c r="G2" i="18"/>
  <c r="E28" i="18"/>
  <c r="E39" i="18"/>
  <c r="E55" i="18"/>
  <c r="AL28" i="18"/>
  <c r="AL39" i="18"/>
  <c r="AG23" i="18"/>
  <c r="AL23" i="18"/>
  <c r="F19" i="18"/>
  <c r="G56" i="18"/>
  <c r="E2" i="18"/>
  <c r="E56" i="18"/>
  <c r="AK28" i="18"/>
  <c r="AL19" i="18"/>
  <c r="AL5" i="18"/>
  <c r="AC28" i="18"/>
  <c r="AE19" i="18"/>
  <c r="AH55" i="18"/>
  <c r="AI23" i="18"/>
  <c r="F55" i="18"/>
  <c r="AC56" i="18"/>
  <c r="AG39" i="18"/>
  <c r="G5" i="18"/>
  <c r="AH23" i="18"/>
  <c r="F59" i="18"/>
  <c r="F28" i="18"/>
  <c r="E30" i="18"/>
  <c r="AL14" i="18"/>
  <c r="AL59" i="18"/>
  <c r="AL55" i="18"/>
  <c r="AL30" i="18"/>
  <c r="AF28" i="18"/>
  <c r="T28" i="18" s="1"/>
  <c r="AH53" i="18"/>
  <c r="V53" i="18" s="1"/>
  <c r="S53" i="18" s="1"/>
  <c r="AG55" i="18"/>
  <c r="AI54" i="18"/>
  <c r="F30" i="18"/>
  <c r="AK59" i="18"/>
  <c r="AK55" i="18"/>
  <c r="AK30" i="18"/>
  <c r="AH46" i="18"/>
  <c r="V46" i="18" s="1"/>
  <c r="AE28" i="18"/>
  <c r="AG53" i="18"/>
  <c r="AH37" i="18"/>
  <c r="V37" i="18" s="1"/>
  <c r="AH59" i="18"/>
  <c r="V59" i="18" s="1"/>
  <c r="S59" i="18" s="1"/>
  <c r="AC55" i="18"/>
  <c r="AG30" i="18"/>
  <c r="AI59" i="18"/>
  <c r="AC65" i="18"/>
  <c r="AH64" i="18"/>
  <c r="O73" i="16"/>
  <c r="AK74" i="18" s="1"/>
  <c r="F47" i="18"/>
  <c r="G64" i="18"/>
  <c r="AK65" i="18"/>
  <c r="AE65" i="18"/>
  <c r="P66" i="16"/>
  <c r="AL67" i="18" s="1"/>
  <c r="F65" i="18"/>
  <c r="E64" i="18"/>
  <c r="AH65" i="18"/>
  <c r="AJ65" i="18"/>
  <c r="G65" i="18"/>
  <c r="E65" i="18"/>
  <c r="AG65" i="18"/>
  <c r="G51" i="18"/>
  <c r="E31" i="18"/>
  <c r="E22" i="18"/>
  <c r="AK22" i="18"/>
  <c r="AE16" i="18"/>
  <c r="AE50" i="18"/>
  <c r="AD66" i="18"/>
  <c r="AL70" i="18"/>
  <c r="AJ62" i="18"/>
  <c r="AJ60" i="18"/>
  <c r="AJ58" i="18"/>
  <c r="AJ56" i="18"/>
  <c r="AJ54" i="18"/>
  <c r="AJ52" i="18"/>
  <c r="AJ45" i="18"/>
  <c r="AJ43" i="18"/>
  <c r="AJ16" i="18"/>
  <c r="AG22" i="18"/>
  <c r="F50" i="18"/>
  <c r="AE22" i="18"/>
  <c r="AI22" i="18"/>
  <c r="E16" i="18"/>
  <c r="F22" i="18"/>
  <c r="AK16" i="18"/>
  <c r="AL50" i="18"/>
  <c r="AH16" i="18"/>
  <c r="AL16" i="18"/>
  <c r="AE15" i="18"/>
  <c r="AG16" i="18"/>
  <c r="AI4" i="18"/>
  <c r="G22" i="18"/>
  <c r="AC16" i="18"/>
  <c r="AJ41" i="18"/>
  <c r="AJ39" i="18"/>
  <c r="AJ37" i="18"/>
  <c r="AJ35" i="18"/>
  <c r="AJ31" i="18"/>
  <c r="AJ29" i="18"/>
  <c r="AJ27" i="18"/>
  <c r="AJ25" i="18"/>
  <c r="AJ19" i="18"/>
  <c r="AJ17" i="18"/>
  <c r="X17" i="18" s="1"/>
  <c r="AJ11" i="18"/>
  <c r="AJ9" i="18"/>
  <c r="AJ7" i="18"/>
  <c r="AJ5" i="18"/>
  <c r="AL148" i="18"/>
  <c r="G115" i="18"/>
  <c r="AK68" i="18"/>
  <c r="AG68" i="18"/>
  <c r="AD71" i="18"/>
  <c r="AI74" i="18"/>
  <c r="AF70" i="18"/>
  <c r="T70" i="18" s="1"/>
  <c r="AC117" i="18"/>
  <c r="AH70" i="18"/>
  <c r="AF90" i="18"/>
  <c r="T90" i="18" s="1"/>
  <c r="AH72" i="18"/>
  <c r="V72" i="18" s="1"/>
  <c r="S72" i="18" s="1"/>
  <c r="AF69" i="18"/>
  <c r="T69" i="18" s="1"/>
  <c r="F68" i="18"/>
  <c r="E68" i="18"/>
  <c r="AD122" i="18"/>
  <c r="AL126" i="18"/>
  <c r="AH134" i="18"/>
  <c r="V134" i="18" s="1"/>
  <c r="S134" i="18" s="1"/>
  <c r="AC79" i="18"/>
  <c r="AI79" i="18"/>
  <c r="AI108" i="18"/>
  <c r="G68" i="18"/>
  <c r="AK70" i="18"/>
  <c r="AH68" i="18"/>
  <c r="V68" i="18" s="1"/>
  <c r="S68" i="18" s="1"/>
  <c r="AC69" i="18"/>
  <c r="AC70" i="18"/>
  <c r="AI70" i="18"/>
  <c r="AK110" i="18"/>
  <c r="AL138" i="18"/>
  <c r="G152" i="18"/>
  <c r="AJ68" i="18"/>
  <c r="AD92" i="18"/>
  <c r="AJ129" i="18"/>
  <c r="AE81" i="18"/>
  <c r="AH144" i="18"/>
  <c r="V144" i="18" s="1"/>
  <c r="S144" i="18" s="1"/>
  <c r="AC144" i="18"/>
  <c r="E69" i="18"/>
  <c r="AG70" i="18"/>
  <c r="AG88" i="18"/>
  <c r="AG72" i="18"/>
  <c r="AC68" i="18"/>
  <c r="AE69" i="18"/>
  <c r="AE70" i="18"/>
  <c r="AD76" i="18"/>
  <c r="AH69" i="18"/>
  <c r="AC72" i="18"/>
  <c r="AF68" i="18"/>
  <c r="T68" i="18" s="1"/>
  <c r="AJ69" i="18"/>
  <c r="AJ70" i="18"/>
  <c r="AI69" i="18"/>
  <c r="Y69" i="18" s="1"/>
  <c r="AD69" i="18"/>
  <c r="AD121" i="18"/>
  <c r="AD89" i="18"/>
  <c r="AI84" i="18"/>
  <c r="F69" i="18"/>
  <c r="E72" i="18"/>
  <c r="AG69" i="18"/>
  <c r="AH139" i="18"/>
  <c r="AF72" i="18"/>
  <c r="T72" i="18" s="1"/>
  <c r="AE68" i="18"/>
  <c r="AG117" i="18"/>
  <c r="AC137" i="18"/>
  <c r="AC120" i="18"/>
  <c r="G69" i="18"/>
  <c r="E132" i="18"/>
  <c r="AF71" i="18"/>
  <c r="T71" i="18" s="1"/>
  <c r="AE72" i="18"/>
  <c r="AD72" i="18"/>
  <c r="AD68" i="18"/>
  <c r="AE99" i="18"/>
  <c r="E70" i="18"/>
  <c r="AG112" i="18"/>
  <c r="AL75" i="18"/>
  <c r="AE142" i="18"/>
  <c r="AI119" i="18"/>
  <c r="AJ143" i="18"/>
  <c r="G72" i="18"/>
  <c r="G70" i="18"/>
  <c r="AH76" i="18"/>
  <c r="AJ72" i="18"/>
  <c r="AD70" i="18"/>
  <c r="AI72" i="18"/>
  <c r="AK2" i="18"/>
  <c r="AJ142" i="18"/>
  <c r="AC113" i="18"/>
  <c r="AE133" i="18"/>
  <c r="AE129" i="18"/>
  <c r="AD108" i="18"/>
  <c r="AL98" i="18"/>
  <c r="AE111" i="18"/>
  <c r="AJ139" i="18"/>
  <c r="AJ79" i="18"/>
  <c r="F72" i="18"/>
  <c r="F70" i="18"/>
  <c r="AK69" i="18"/>
  <c r="AD118" i="18"/>
  <c r="AD78" i="18"/>
  <c r="R78" i="18" s="1"/>
  <c r="AD148" i="18"/>
  <c r="AD136" i="18"/>
  <c r="R136" i="18" s="1"/>
  <c r="AD112" i="18"/>
  <c r="AD100" i="18"/>
  <c r="AL81" i="18"/>
  <c r="AL100" i="18"/>
  <c r="AL128" i="18"/>
  <c r="AL150" i="18"/>
  <c r="AD125" i="18"/>
  <c r="AD90" i="18"/>
  <c r="AG98" i="18"/>
  <c r="AC96" i="18"/>
  <c r="AF103" i="18"/>
  <c r="T103" i="18" s="1"/>
  <c r="AH74" i="18"/>
  <c r="V74" i="18" s="1"/>
  <c r="S74" i="18" s="1"/>
  <c r="AJ133" i="18"/>
  <c r="AI132" i="18"/>
  <c r="AF96" i="18"/>
  <c r="T96" i="18" s="1"/>
  <c r="AE103" i="18"/>
  <c r="AG74" i="18"/>
  <c r="AH133" i="18"/>
  <c r="V133" i="18" s="1"/>
  <c r="S133" i="18" s="1"/>
  <c r="AI130" i="18"/>
  <c r="AJ116" i="18"/>
  <c r="AH108" i="18"/>
  <c r="W108" i="18" s="1"/>
  <c r="AC74" i="18"/>
  <c r="AI89" i="18"/>
  <c r="AI81" i="18"/>
  <c r="AG101" i="18"/>
  <c r="AG105" i="18"/>
  <c r="AJ119" i="18"/>
  <c r="AE137" i="18"/>
  <c r="AI142" i="18"/>
  <c r="AH122" i="18"/>
  <c r="AH132" i="18"/>
  <c r="V132" i="18" s="1"/>
  <c r="S132" i="18" s="1"/>
  <c r="AI129" i="18"/>
  <c r="AF112" i="18"/>
  <c r="T112" i="18" s="1"/>
  <c r="AG144" i="18"/>
  <c r="AG121" i="18"/>
  <c r="G127" i="18"/>
  <c r="F121" i="18"/>
  <c r="E148" i="18"/>
  <c r="AL142" i="18"/>
  <c r="F128" i="18"/>
  <c r="AC125" i="18"/>
  <c r="AF122" i="18"/>
  <c r="T122" i="18" s="1"/>
  <c r="AH90" i="18"/>
  <c r="AI95" i="18"/>
  <c r="AD111" i="18"/>
  <c r="AD142" i="18"/>
  <c r="AD84" i="18"/>
  <c r="AL82" i="18"/>
  <c r="AL130" i="18"/>
  <c r="AD88" i="18"/>
  <c r="AD115" i="18"/>
  <c r="AH100" i="18"/>
  <c r="AH79" i="18"/>
  <c r="V79" i="18" s="1"/>
  <c r="S79" i="18" s="1"/>
  <c r="AC119" i="18"/>
  <c r="AH99" i="18"/>
  <c r="V99" i="18" s="1"/>
  <c r="S99" i="18" s="1"/>
  <c r="AF80" i="18"/>
  <c r="T80" i="18" s="1"/>
  <c r="AI150" i="18"/>
  <c r="AG79" i="18"/>
  <c r="AF102" i="18"/>
  <c r="T102" i="18" s="1"/>
  <c r="AG99" i="18"/>
  <c r="AE80" i="18"/>
  <c r="AI80" i="18"/>
  <c r="AE113" i="18"/>
  <c r="AJ103" i="18"/>
  <c r="AC99" i="18"/>
  <c r="AI136" i="18"/>
  <c r="AG114" i="18"/>
  <c r="AH118" i="18"/>
  <c r="AF117" i="18"/>
  <c r="T117" i="18" s="1"/>
  <c r="AF136" i="18"/>
  <c r="AI149" i="18"/>
  <c r="AC108" i="18"/>
  <c r="AH130" i="18"/>
  <c r="V130" i="18" s="1"/>
  <c r="S130" i="18" s="1"/>
  <c r="AI78" i="18"/>
  <c r="AC150" i="18"/>
  <c r="AG122" i="18"/>
  <c r="AH91" i="18"/>
  <c r="V91" i="18" s="1"/>
  <c r="S91" i="18" s="1"/>
  <c r="AE134" i="18"/>
  <c r="F125" i="18"/>
  <c r="G98" i="18"/>
  <c r="G113" i="18"/>
  <c r="E75" i="18"/>
  <c r="AK112" i="18"/>
  <c r="AG148" i="18"/>
  <c r="AC89" i="18"/>
  <c r="AC86" i="18"/>
  <c r="AC148" i="18"/>
  <c r="AC103" i="18"/>
  <c r="AG96" i="18"/>
  <c r="AE107" i="18"/>
  <c r="AJ105" i="18"/>
  <c r="AJ98" i="18"/>
  <c r="AF113" i="18"/>
  <c r="T113" i="18" s="1"/>
  <c r="AJ112" i="18"/>
  <c r="AH124" i="18"/>
  <c r="AE106" i="18"/>
  <c r="AG84" i="18"/>
  <c r="AG86" i="18"/>
  <c r="AC92" i="18"/>
  <c r="AC93" i="18"/>
  <c r="AG125" i="18"/>
  <c r="AC126" i="18"/>
  <c r="AG89" i="18"/>
  <c r="AH88" i="18"/>
  <c r="AF82" i="18"/>
  <c r="T82" i="18" s="1"/>
  <c r="AJ109" i="18"/>
  <c r="E128" i="18"/>
  <c r="AK139" i="18"/>
  <c r="AL91" i="18"/>
  <c r="AK125" i="18"/>
  <c r="AL127" i="18"/>
  <c r="AH148" i="18"/>
  <c r="AK121" i="18"/>
  <c r="AH73" i="18"/>
  <c r="AL109" i="18"/>
  <c r="AG78" i="18"/>
  <c r="AK129" i="18"/>
  <c r="AK76" i="18"/>
  <c r="AK118" i="18"/>
  <c r="AG147" i="18"/>
  <c r="AL112" i="18"/>
  <c r="AH85" i="18"/>
  <c r="AG81" i="18"/>
  <c r="G97" i="18"/>
  <c r="E131" i="18"/>
  <c r="E122" i="18"/>
  <c r="E113" i="18"/>
  <c r="E103" i="18"/>
  <c r="E92" i="18"/>
  <c r="E82" i="18"/>
  <c r="E74" i="18"/>
  <c r="F117" i="18"/>
  <c r="F100" i="18"/>
  <c r="G91" i="18"/>
  <c r="G81" i="18"/>
  <c r="G129" i="18"/>
  <c r="F149" i="18"/>
  <c r="G104" i="18"/>
  <c r="G90" i="18"/>
  <c r="F134" i="18"/>
  <c r="F142" i="18"/>
  <c r="AK141" i="18"/>
  <c r="G131" i="18"/>
  <c r="AG131" i="18"/>
  <c r="AI105" i="18"/>
  <c r="AJ135" i="18"/>
  <c r="AH119" i="18"/>
  <c r="V119" i="18" s="1"/>
  <c r="S119" i="18" s="1"/>
  <c r="AC95" i="18"/>
  <c r="AF118" i="18"/>
  <c r="T118" i="18" s="1"/>
  <c r="AF147" i="18"/>
  <c r="T147" i="18" s="1"/>
  <c r="AI126" i="18"/>
  <c r="AG132" i="18"/>
  <c r="AG115" i="18"/>
  <c r="AC107" i="18"/>
  <c r="AF101" i="18"/>
  <c r="T101" i="18" s="1"/>
  <c r="AI103" i="18"/>
  <c r="AE136" i="18"/>
  <c r="AC77" i="18"/>
  <c r="AG119" i="18"/>
  <c r="AF76" i="18"/>
  <c r="T76" i="18" s="1"/>
  <c r="AC105" i="18"/>
  <c r="AC98" i="18"/>
  <c r="AJ127" i="18"/>
  <c r="AG113" i="18"/>
  <c r="AE112" i="18"/>
  <c r="AF106" i="18"/>
  <c r="T106" i="18" s="1"/>
  <c r="AH84" i="18"/>
  <c r="AH86" i="18"/>
  <c r="AG92" i="18"/>
  <c r="AG93" i="18"/>
  <c r="AH125" i="18"/>
  <c r="AH89" i="18"/>
  <c r="AC82" i="18"/>
  <c r="AE109" i="18"/>
  <c r="AG135" i="18"/>
  <c r="AK104" i="18"/>
  <c r="AK92" i="18"/>
  <c r="AL125" i="18"/>
  <c r="AK148" i="18"/>
  <c r="AL121" i="18"/>
  <c r="AK73" i="18"/>
  <c r="AK78" i="18"/>
  <c r="AL129" i="18"/>
  <c r="AL76" i="18"/>
  <c r="AK105" i="18"/>
  <c r="AK113" i="18"/>
  <c r="AH147" i="18"/>
  <c r="AL74" i="18"/>
  <c r="AK123" i="18"/>
  <c r="AK85" i="18"/>
  <c r="AH81" i="18"/>
  <c r="F97" i="18"/>
  <c r="E147" i="18"/>
  <c r="E130" i="18"/>
  <c r="E121" i="18"/>
  <c r="E112" i="18"/>
  <c r="E101" i="18"/>
  <c r="E91" i="18"/>
  <c r="E80" i="18"/>
  <c r="E73" i="18"/>
  <c r="G99" i="18"/>
  <c r="G124" i="18"/>
  <c r="G73" i="18"/>
  <c r="F144" i="18"/>
  <c r="G147" i="18"/>
  <c r="F136" i="18"/>
  <c r="F81" i="18"/>
  <c r="G100" i="18"/>
  <c r="G105" i="18"/>
  <c r="G123" i="18"/>
  <c r="F76" i="18"/>
  <c r="G122" i="18"/>
  <c r="F82" i="18"/>
  <c r="G78" i="18"/>
  <c r="F104" i="18"/>
  <c r="F141" i="18"/>
  <c r="F106" i="18"/>
  <c r="F86" i="18"/>
  <c r="AE150" i="18"/>
  <c r="F131" i="18"/>
  <c r="G137" i="18"/>
  <c r="AI127" i="18"/>
  <c r="AH136" i="18"/>
  <c r="V136" i="18" s="1"/>
  <c r="AG103" i="18"/>
  <c r="AJ78" i="18"/>
  <c r="AE105" i="18"/>
  <c r="AF150" i="18"/>
  <c r="T150" i="18" s="1"/>
  <c r="AI118" i="18"/>
  <c r="AE24" i="10" s="1"/>
  <c r="AF24" i="10" s="1"/>
  <c r="AH80" i="18"/>
  <c r="AJ99" i="18"/>
  <c r="AF108" i="18"/>
  <c r="T108" i="18" s="1"/>
  <c r="AC118" i="18"/>
  <c r="AC147" i="18"/>
  <c r="AI122" i="18"/>
  <c r="AI97" i="18"/>
  <c r="AE23" i="10" s="1"/>
  <c r="AI123" i="18"/>
  <c r="AG104" i="18"/>
  <c r="AF115" i="18"/>
  <c r="T115" i="18" s="1"/>
  <c r="AF144" i="18"/>
  <c r="T144" i="18" s="1"/>
  <c r="AH78" i="18"/>
  <c r="V78" i="18" s="1"/>
  <c r="AJ97" i="18"/>
  <c r="AE100" i="18"/>
  <c r="AH98" i="18"/>
  <c r="AC127" i="18"/>
  <c r="AJ147" i="18"/>
  <c r="AC112" i="18"/>
  <c r="AC106" i="18"/>
  <c r="AH92" i="18"/>
  <c r="V92" i="18" s="1"/>
  <c r="S92" i="18" s="1"/>
  <c r="AH93" i="18"/>
  <c r="V93" i="18" s="1"/>
  <c r="AG82" i="18"/>
  <c r="AF109" i="18"/>
  <c r="U109" i="18" s="1"/>
  <c r="AK135" i="18"/>
  <c r="AK93" i="18"/>
  <c r="AG126" i="18"/>
  <c r="AG149" i="18"/>
  <c r="AK132" i="18"/>
  <c r="AK119" i="18"/>
  <c r="AL73" i="18"/>
  <c r="AK144" i="18"/>
  <c r="AL78" i="18"/>
  <c r="AL131" i="18"/>
  <c r="AL105" i="18"/>
  <c r="AL113" i="18"/>
  <c r="AK147" i="18"/>
  <c r="AG75" i="18"/>
  <c r="AL123" i="18"/>
  <c r="AL85" i="18"/>
  <c r="AK81" i="18"/>
  <c r="AG120" i="18"/>
  <c r="E97" i="18"/>
  <c r="E144" i="18"/>
  <c r="E129" i="18"/>
  <c r="E120" i="18"/>
  <c r="E111" i="18"/>
  <c r="E100" i="18"/>
  <c r="E90" i="18"/>
  <c r="E81" i="18"/>
  <c r="G112" i="18"/>
  <c r="G142" i="18"/>
  <c r="G103" i="18"/>
  <c r="G135" i="18"/>
  <c r="G120" i="18"/>
  <c r="G93" i="18"/>
  <c r="E149" i="18"/>
  <c r="F129" i="18"/>
  <c r="F109" i="18"/>
  <c r="F103" i="18"/>
  <c r="F85" i="18"/>
  <c r="G77" i="18"/>
  <c r="F124" i="18"/>
  <c r="G74" i="18"/>
  <c r="G136" i="18"/>
  <c r="AL133" i="18"/>
  <c r="AG137" i="18"/>
  <c r="F137" i="18"/>
  <c r="AI75" i="18"/>
  <c r="AH104" i="18"/>
  <c r="AC142" i="18"/>
  <c r="AH96" i="18"/>
  <c r="AJ120" i="18"/>
  <c r="AI133" i="18"/>
  <c r="AC133" i="18"/>
  <c r="AI115" i="18"/>
  <c r="AC80" i="18"/>
  <c r="AH135" i="18"/>
  <c r="V135" i="18" s="1"/>
  <c r="S135" i="18" s="1"/>
  <c r="AF132" i="18"/>
  <c r="T132" i="18" s="1"/>
  <c r="AF97" i="18"/>
  <c r="T97" i="18" s="1"/>
  <c r="AE118" i="18"/>
  <c r="AG100" i="18"/>
  <c r="AE147" i="18"/>
  <c r="AH112" i="18"/>
  <c r="V112" i="18" s="1"/>
  <c r="S112" i="18" s="1"/>
  <c r="AJ75" i="18"/>
  <c r="AJ124" i="18"/>
  <c r="AG106" i="18"/>
  <c r="AJ123" i="18"/>
  <c r="AJ85" i="18"/>
  <c r="AJ88" i="18"/>
  <c r="AH82" i="18"/>
  <c r="AC109" i="18"/>
  <c r="AL135" i="18"/>
  <c r="AK88" i="18"/>
  <c r="AL93" i="18"/>
  <c r="AH126" i="18"/>
  <c r="AH149" i="18"/>
  <c r="AL132" i="18"/>
  <c r="AL119" i="18"/>
  <c r="AK115" i="18"/>
  <c r="AK96" i="18"/>
  <c r="AK116" i="18"/>
  <c r="AH75" i="18"/>
  <c r="AK84" i="18"/>
  <c r="AK80" i="18"/>
  <c r="AH120" i="18"/>
  <c r="V120" i="18" s="1"/>
  <c r="S120" i="18" s="1"/>
  <c r="E142" i="18"/>
  <c r="E127" i="18"/>
  <c r="E119" i="18"/>
  <c r="E109" i="18"/>
  <c r="E99" i="18"/>
  <c r="E89" i="18"/>
  <c r="E79" i="18"/>
  <c r="F75" i="18"/>
  <c r="G75" i="18"/>
  <c r="F93" i="18"/>
  <c r="G89" i="18"/>
  <c r="G116" i="18"/>
  <c r="F132" i="18"/>
  <c r="F123" i="18"/>
  <c r="G139" i="18"/>
  <c r="G144" i="18"/>
  <c r="F88" i="18"/>
  <c r="F126" i="18"/>
  <c r="F77" i="18"/>
  <c r="F96" i="18"/>
  <c r="G119" i="18"/>
  <c r="G150" i="18"/>
  <c r="F150" i="18"/>
  <c r="AK131" i="18"/>
  <c r="G134" i="18"/>
  <c r="AI125" i="18"/>
  <c r="AF128" i="18"/>
  <c r="T128" i="18" s="1"/>
  <c r="AC73" i="18"/>
  <c r="AF142" i="18"/>
  <c r="T142" i="18" s="1"/>
  <c r="AH97" i="18"/>
  <c r="AG118" i="18"/>
  <c r="AE75" i="18"/>
  <c r="AE124" i="18"/>
  <c r="AE123" i="18"/>
  <c r="AE85" i="18"/>
  <c r="AJ84" i="18"/>
  <c r="AJ86" i="18"/>
  <c r="AJ125" i="18"/>
  <c r="AJ152" i="18"/>
  <c r="AJ89" i="18"/>
  <c r="AE88" i="18"/>
  <c r="AG109" i="18"/>
  <c r="AL143" i="18"/>
  <c r="AG136" i="18"/>
  <c r="AK89" i="18"/>
  <c r="AK95" i="18"/>
  <c r="AK126" i="18"/>
  <c r="AK117" i="18"/>
  <c r="AK149" i="18"/>
  <c r="AG77" i="18"/>
  <c r="AG151" i="18"/>
  <c r="AL115" i="18"/>
  <c r="AK98" i="18"/>
  <c r="AK97" i="18"/>
  <c r="AK100" i="18"/>
  <c r="AK75" i="18"/>
  <c r="AL84" i="18"/>
  <c r="AL80" i="18"/>
  <c r="AK120" i="18"/>
  <c r="E139" i="18"/>
  <c r="E126" i="18"/>
  <c r="E118" i="18"/>
  <c r="E108" i="18"/>
  <c r="E98" i="18"/>
  <c r="E88" i="18"/>
  <c r="E78" i="18"/>
  <c r="F99" i="18"/>
  <c r="F114" i="18"/>
  <c r="G101" i="18"/>
  <c r="F74" i="18"/>
  <c r="G79" i="18"/>
  <c r="F120" i="18"/>
  <c r="G106" i="18"/>
  <c r="F105" i="18"/>
  <c r="G132" i="18"/>
  <c r="G109" i="18"/>
  <c r="G82" i="18"/>
  <c r="F79" i="18"/>
  <c r="G126" i="18"/>
  <c r="G148" i="18"/>
  <c r="F148" i="18"/>
  <c r="AK133" i="18"/>
  <c r="F133" i="18"/>
  <c r="AH131" i="18"/>
  <c r="F130" i="18"/>
  <c r="AI88" i="18"/>
  <c r="AC130" i="18"/>
  <c r="AC115" i="18"/>
  <c r="AC76" i="18"/>
  <c r="AG116" i="18"/>
  <c r="AI120" i="18"/>
  <c r="AE135" i="18"/>
  <c r="AJ117" i="18"/>
  <c r="AG95" i="18"/>
  <c r="AJ100" i="18"/>
  <c r="AC151" i="18"/>
  <c r="AE90" i="18"/>
  <c r="AD117" i="18"/>
  <c r="AC149" i="18"/>
  <c r="AF73" i="18"/>
  <c r="T73" i="18" s="1"/>
  <c r="AF129" i="18"/>
  <c r="T129" i="18" s="1"/>
  <c r="AF120" i="18"/>
  <c r="T120" i="18" s="1"/>
  <c r="AE116" i="18"/>
  <c r="AF111" i="18"/>
  <c r="T111" i="18" s="1"/>
  <c r="AJ101" i="18"/>
  <c r="AF75" i="18"/>
  <c r="T75" i="18" s="1"/>
  <c r="AF124" i="18"/>
  <c r="T124" i="18" s="1"/>
  <c r="AF123" i="18"/>
  <c r="T123" i="18" s="1"/>
  <c r="AF85" i="18"/>
  <c r="AE84" i="18"/>
  <c r="AE86" i="18"/>
  <c r="AJ92" i="18"/>
  <c r="AJ93" i="18"/>
  <c r="AE125" i="18"/>
  <c r="AJ126" i="18"/>
  <c r="AE89" i="18"/>
  <c r="AF88" i="18"/>
  <c r="T88" i="18" s="1"/>
  <c r="AH109" i="18"/>
  <c r="AK128" i="18"/>
  <c r="AL136" i="18"/>
  <c r="AL89" i="18"/>
  <c r="AL95" i="18"/>
  <c r="AG127" i="18"/>
  <c r="AL117" i="18"/>
  <c r="AL149" i="18"/>
  <c r="AH77" i="18"/>
  <c r="AH151" i="18"/>
  <c r="AK103" i="18"/>
  <c r="AL97" i="18"/>
  <c r="AG150" i="18"/>
  <c r="AK124" i="18"/>
  <c r="AK86" i="18"/>
  <c r="E136" i="18"/>
  <c r="E125" i="18"/>
  <c r="E117" i="18"/>
  <c r="E106" i="18"/>
  <c r="E96" i="18"/>
  <c r="E86" i="18"/>
  <c r="E77" i="18"/>
  <c r="G117" i="18"/>
  <c r="G151" i="18"/>
  <c r="F101" i="18"/>
  <c r="G125" i="18"/>
  <c r="G121" i="18"/>
  <c r="F92" i="18"/>
  <c r="F98" i="18"/>
  <c r="F95" i="18"/>
  <c r="F113" i="18"/>
  <c r="G76" i="18"/>
  <c r="F116" i="18"/>
  <c r="F139" i="18"/>
  <c r="G88" i="18"/>
  <c r="F89" i="18"/>
  <c r="F91" i="18"/>
  <c r="G84" i="18"/>
  <c r="G118" i="18"/>
  <c r="F111" i="18"/>
  <c r="AH150" i="18"/>
  <c r="V150" i="18" s="1"/>
  <c r="S150" i="18" s="1"/>
  <c r="E150" i="18"/>
  <c r="AG134" i="18"/>
  <c r="AK130" i="18"/>
  <c r="AG80" i="18"/>
  <c r="AC132" i="18"/>
  <c r="AE108" i="18"/>
  <c r="AC131" i="18"/>
  <c r="AH111" i="18"/>
  <c r="V111" i="18" s="1"/>
  <c r="S111" i="18" s="1"/>
  <c r="AI112" i="18"/>
  <c r="AJ136" i="18"/>
  <c r="AH121" i="18"/>
  <c r="V121" i="18" s="1"/>
  <c r="S121" i="18" s="1"/>
  <c r="AE78" i="18"/>
  <c r="AH116" i="18"/>
  <c r="V116" i="18" s="1"/>
  <c r="S116" i="18" s="1"/>
  <c r="AH106" i="18"/>
  <c r="AI134" i="18"/>
  <c r="AC121" i="18"/>
  <c r="AC116" i="18"/>
  <c r="AC111" i="18"/>
  <c r="AC101" i="18"/>
  <c r="AJ151" i="18"/>
  <c r="AC75" i="18"/>
  <c r="AC124" i="18"/>
  <c r="AG123" i="18"/>
  <c r="AC85" i="18"/>
  <c r="AF84" i="18"/>
  <c r="T84" i="18" s="1"/>
  <c r="AF86" i="18"/>
  <c r="T86" i="18" s="1"/>
  <c r="AE92" i="18"/>
  <c r="AE93" i="18"/>
  <c r="AF125" i="18"/>
  <c r="T125" i="18" s="1"/>
  <c r="AE126" i="18"/>
  <c r="AF89" i="18"/>
  <c r="T89" i="18" s="1"/>
  <c r="AC88" i="18"/>
  <c r="AJ82" i="18"/>
  <c r="AH94" i="18"/>
  <c r="G128" i="18"/>
  <c r="AG139" i="18"/>
  <c r="AK90" i="18"/>
  <c r="AK122" i="18"/>
  <c r="AH127" i="18"/>
  <c r="AK99" i="18"/>
  <c r="AK142" i="18"/>
  <c r="AK82" i="18"/>
  <c r="AK151" i="18"/>
  <c r="AL103" i="18"/>
  <c r="AK108" i="18"/>
  <c r="AG129" i="18"/>
  <c r="AG76" i="18"/>
  <c r="AK111" i="18"/>
  <c r="AK150" i="18"/>
  <c r="AK101" i="18"/>
  <c r="AK106" i="18"/>
  <c r="AL86" i="18"/>
  <c r="E135" i="18"/>
  <c r="E124" i="18"/>
  <c r="E116" i="18"/>
  <c r="E105" i="18"/>
  <c r="E95" i="18"/>
  <c r="E84" i="18"/>
  <c r="E76" i="18"/>
  <c r="E151" i="18"/>
  <c r="F119" i="18"/>
  <c r="G80" i="18"/>
  <c r="G149" i="18"/>
  <c r="F78" i="18"/>
  <c r="F73" i="18"/>
  <c r="G108" i="18"/>
  <c r="F127" i="18"/>
  <c r="F80" i="18"/>
  <c r="F115" i="18"/>
  <c r="F90" i="18"/>
  <c r="F94" i="18"/>
  <c r="F135" i="18"/>
  <c r="F118" i="18"/>
  <c r="G111" i="18"/>
  <c r="E133" i="18"/>
  <c r="AF130" i="18"/>
  <c r="T130" i="18" s="1"/>
  <c r="AK137" i="18"/>
  <c r="AF133" i="18"/>
  <c r="AC122" i="18"/>
  <c r="AC97" i="18"/>
  <c r="AE114" i="18"/>
  <c r="AJ90" i="18"/>
  <c r="AI124" i="18"/>
  <c r="AH137" i="18"/>
  <c r="V137" i="18" s="1"/>
  <c r="S137" i="18" s="1"/>
  <c r="AH103" i="18"/>
  <c r="AD129" i="18"/>
  <c r="AD81" i="18"/>
  <c r="R81" i="18" s="1"/>
  <c r="AD113" i="18"/>
  <c r="AL104" i="18"/>
  <c r="AD130" i="18"/>
  <c r="AD150" i="18"/>
  <c r="AD105" i="18"/>
  <c r="AD79" i="18"/>
  <c r="R79" i="18" s="1"/>
  <c r="AD128" i="18"/>
  <c r="AD93" i="18"/>
  <c r="AD106" i="18"/>
  <c r="AL88" i="18"/>
  <c r="AL108" i="18"/>
  <c r="AK134" i="18"/>
  <c r="AD77" i="18"/>
  <c r="AK77" i="18"/>
  <c r="AD95" i="18"/>
  <c r="AJ118" i="18"/>
  <c r="AE95" i="18"/>
  <c r="AF121" i="18"/>
  <c r="T121" i="18" s="1"/>
  <c r="AE132" i="18"/>
  <c r="AC81" i="18"/>
  <c r="AC91" i="18"/>
  <c r="AJ95" i="18"/>
  <c r="AF119" i="18"/>
  <c r="T119" i="18" s="1"/>
  <c r="AJ132" i="18"/>
  <c r="AF81" i="18"/>
  <c r="AI137" i="18"/>
  <c r="AF127" i="18"/>
  <c r="T127" i="18" s="1"/>
  <c r="AE119" i="18"/>
  <c r="AE104" i="18"/>
  <c r="AI114" i="18"/>
  <c r="AI121" i="18"/>
  <c r="AE11" i="10" s="1"/>
  <c r="AF11" i="10" s="1"/>
  <c r="AJ111" i="18"/>
  <c r="AH107" i="18"/>
  <c r="V107" i="18" s="1"/>
  <c r="S107" i="18" s="1"/>
  <c r="AF74" i="18"/>
  <c r="T74" i="18" s="1"/>
  <c r="AC135" i="18"/>
  <c r="AI99" i="18"/>
  <c r="AH115" i="18"/>
  <c r="AJ128" i="18"/>
  <c r="AI148" i="18"/>
  <c r="AF114" i="18"/>
  <c r="T114" i="18" s="1"/>
  <c r="AG142" i="18"/>
  <c r="AG91" i="18"/>
  <c r="G95" i="18"/>
  <c r="G92" i="18"/>
  <c r="E85" i="18"/>
  <c r="AL106" i="18"/>
  <c r="AL151" i="18"/>
  <c r="AE82" i="18"/>
  <c r="AF93" i="18"/>
  <c r="T93" i="18" s="1"/>
  <c r="AD127" i="18"/>
  <c r="AD99" i="18"/>
  <c r="AL116" i="18"/>
  <c r="AL137" i="18"/>
  <c r="AD73" i="18"/>
  <c r="AK136" i="18"/>
  <c r="AD98" i="18"/>
  <c r="AJ107" i="18"/>
  <c r="AE144" i="18"/>
  <c r="AF77" i="18"/>
  <c r="T77" i="18" s="1"/>
  <c r="AE130" i="18"/>
  <c r="AI92" i="18"/>
  <c r="AG90" i="18"/>
  <c r="AJ144" i="18"/>
  <c r="AE121" i="18"/>
  <c r="AJ130" i="18"/>
  <c r="AI86" i="18"/>
  <c r="AF91" i="18"/>
  <c r="T91" i="18" s="1"/>
  <c r="AF98" i="18"/>
  <c r="T98" i="18" s="1"/>
  <c r="AJ121" i="18"/>
  <c r="AE139" i="18"/>
  <c r="AI116" i="18"/>
  <c r="AE91" i="18"/>
  <c r="AJ113" i="18"/>
  <c r="AJ96" i="18"/>
  <c r="AJ81" i="18"/>
  <c r="AI128" i="18"/>
  <c r="AH142" i="18"/>
  <c r="V142" i="18" s="1"/>
  <c r="S142" i="18" s="1"/>
  <c r="AJ137" i="18"/>
  <c r="AI104" i="18"/>
  <c r="AJ74" i="18"/>
  <c r="AE101" i="18"/>
  <c r="AL134" i="18"/>
  <c r="F108" i="18"/>
  <c r="F147" i="18"/>
  <c r="F122" i="18"/>
  <c r="AG133" i="18"/>
  <c r="E93" i="18"/>
  <c r="AL101" i="18"/>
  <c r="AG111" i="18"/>
  <c r="AI82" i="18"/>
  <c r="AD151" i="18"/>
  <c r="AD137" i="18"/>
  <c r="R137" i="18" s="1"/>
  <c r="AL90" i="18"/>
  <c r="AL96" i="18"/>
  <c r="AD133" i="18"/>
  <c r="R133" i="18" s="1"/>
  <c r="AD75" i="18"/>
  <c r="AD120" i="18"/>
  <c r="AD149" i="18"/>
  <c r="AD80" i="18"/>
  <c r="AD101" i="18"/>
  <c r="AL92" i="18"/>
  <c r="AL118" i="18"/>
  <c r="AL139" i="18"/>
  <c r="AD97" i="18"/>
  <c r="AD139" i="18"/>
  <c r="AD147" i="18"/>
  <c r="AE97" i="18"/>
  <c r="AE122" i="18"/>
  <c r="AF149" i="18"/>
  <c r="T149" i="18" s="1"/>
  <c r="AH128" i="18"/>
  <c r="W128" i="18" s="1"/>
  <c r="AI151" i="18"/>
  <c r="AJ122" i="18"/>
  <c r="AE77" i="18"/>
  <c r="AG128" i="18"/>
  <c r="AI101" i="18"/>
  <c r="AI90" i="18"/>
  <c r="AC100" i="18"/>
  <c r="AJ77" i="18"/>
  <c r="AF137" i="18"/>
  <c r="AI76" i="18"/>
  <c r="AC90" i="18"/>
  <c r="AE127" i="18"/>
  <c r="AF79" i="18"/>
  <c r="AF99" i="18"/>
  <c r="T99" i="18" s="1"/>
  <c r="AI106" i="18"/>
  <c r="AI135" i="18"/>
  <c r="AE79" i="18"/>
  <c r="AE117" i="18"/>
  <c r="AF135" i="18"/>
  <c r="AE120" i="18"/>
  <c r="AG130" i="18"/>
  <c r="AH113" i="18"/>
  <c r="E134" i="18"/>
  <c r="F84" i="18"/>
  <c r="E104" i="18"/>
  <c r="AL152" i="18"/>
  <c r="AL111" i="18"/>
  <c r="AH129" i="18"/>
  <c r="AK109" i="18"/>
  <c r="AK127" i="18"/>
  <c r="AF126" i="18"/>
  <c r="T126" i="18" s="1"/>
  <c r="AC84" i="18"/>
  <c r="AG124" i="18"/>
  <c r="AE151" i="18"/>
  <c r="AD123" i="18"/>
  <c r="AD134" i="18"/>
  <c r="R134" i="18" s="1"/>
  <c r="AD86" i="18"/>
  <c r="AD144" i="18"/>
  <c r="AD82" i="18"/>
  <c r="AL120" i="18"/>
  <c r="AD116" i="18"/>
  <c r="AD126" i="18"/>
  <c r="AE115" i="18"/>
  <c r="AF148" i="18"/>
  <c r="T148" i="18" s="1"/>
  <c r="AC104" i="18"/>
  <c r="AI147" i="18"/>
  <c r="AE32" i="10" s="1"/>
  <c r="AJ131" i="18"/>
  <c r="AJ115" i="18"/>
  <c r="AE149" i="18"/>
  <c r="AF104" i="18"/>
  <c r="T104" i="18" s="1"/>
  <c r="AI98" i="18"/>
  <c r="AH105" i="18"/>
  <c r="AJ149" i="18"/>
  <c r="AC136" i="18"/>
  <c r="AI96" i="18"/>
  <c r="AE98" i="18"/>
  <c r="AC78" i="18"/>
  <c r="AE128" i="18"/>
  <c r="AI113" i="18"/>
  <c r="AI77" i="18"/>
  <c r="AF78" i="18"/>
  <c r="AE74" i="18"/>
  <c r="AC134" i="18"/>
  <c r="AF105" i="18"/>
  <c r="T105" i="18" s="1"/>
  <c r="AF134" i="18"/>
  <c r="AF107" i="18"/>
  <c r="T107" i="18" s="1"/>
  <c r="G96" i="18"/>
  <c r="G85" i="18"/>
  <c r="G86" i="18"/>
  <c r="F151" i="18"/>
  <c r="E115" i="18"/>
  <c r="AG85" i="18"/>
  <c r="AL122" i="18"/>
  <c r="AF92" i="18"/>
  <c r="T92" i="18" s="1"/>
  <c r="AH123" i="18"/>
  <c r="AJ106" i="18"/>
  <c r="AH101" i="18"/>
  <c r="AD104" i="18"/>
  <c r="AD124" i="18"/>
  <c r="AL94" i="18"/>
  <c r="AL144" i="18"/>
  <c r="AD132" i="18"/>
  <c r="AE131" i="18"/>
  <c r="AD119" i="18"/>
  <c r="AD103" i="18"/>
  <c r="AD135" i="18"/>
  <c r="R135" i="18" s="1"/>
  <c r="AD85" i="18"/>
  <c r="R85" i="18" s="1"/>
  <c r="AD96" i="18"/>
  <c r="AD131" i="18"/>
  <c r="AL124" i="18"/>
  <c r="AL147" i="18"/>
  <c r="AD114" i="18"/>
  <c r="AD74" i="18"/>
  <c r="AF116" i="18"/>
  <c r="T116" i="18" s="1"/>
  <c r="AE76" i="18"/>
  <c r="AE73" i="18"/>
  <c r="AH117" i="18"/>
  <c r="AC139" i="18"/>
  <c r="AI73" i="18"/>
  <c r="AJ76" i="18"/>
  <c r="AJ73" i="18"/>
  <c r="AE148" i="18"/>
  <c r="AF139" i="18"/>
  <c r="T139" i="18" s="1"/>
  <c r="AI131" i="18"/>
  <c r="AH114" i="18"/>
  <c r="V114" i="18" s="1"/>
  <c r="S114" i="18" s="1"/>
  <c r="AE96" i="18"/>
  <c r="AJ148" i="18"/>
  <c r="AJ80" i="18"/>
  <c r="AI144" i="18"/>
  <c r="AF151" i="18"/>
  <c r="T151" i="18" s="1"/>
  <c r="AF100" i="18"/>
  <c r="T100" i="18" s="1"/>
  <c r="AG108" i="18"/>
  <c r="AJ104" i="18"/>
  <c r="AI100" i="18"/>
  <c r="AJ91" i="18"/>
  <c r="AH95" i="18"/>
  <c r="AI109" i="18"/>
  <c r="AE47" i="10" s="1"/>
  <c r="AC123" i="18"/>
  <c r="AG97" i="18"/>
  <c r="AI85" i="18"/>
  <c r="AC129" i="18"/>
  <c r="AH141" i="18"/>
  <c r="F112" i="18"/>
  <c r="E123" i="18"/>
  <c r="AG73" i="18"/>
  <c r="AL99" i="18"/>
  <c r="AK91" i="18"/>
  <c r="AK114" i="18"/>
  <c r="AI107" i="18"/>
  <c r="AI102" i="18"/>
  <c r="AE94" i="18"/>
  <c r="E137" i="18"/>
  <c r="AK64" i="18"/>
  <c r="AK47" i="18"/>
  <c r="AK31" i="18"/>
  <c r="AK13" i="18"/>
  <c r="AC146" i="18"/>
  <c r="AD141" i="18"/>
  <c r="AI143" i="18"/>
  <c r="AE15" i="10" s="1"/>
  <c r="AK45" i="18"/>
  <c r="AK29" i="18"/>
  <c r="AE145" i="18"/>
  <c r="AI117" i="18"/>
  <c r="AK60" i="18"/>
  <c r="AK43" i="18"/>
  <c r="AK27" i="18"/>
  <c r="AK9" i="18"/>
  <c r="G130" i="18"/>
  <c r="AK79" i="18"/>
  <c r="AK58" i="18"/>
  <c r="AK41" i="18"/>
  <c r="AK7" i="18"/>
  <c r="G133" i="18"/>
  <c r="AI93" i="18"/>
  <c r="AI111" i="18"/>
  <c r="AJ108" i="18"/>
  <c r="AD91" i="18"/>
  <c r="AC128" i="18"/>
  <c r="AL77" i="18"/>
  <c r="AK56" i="18"/>
  <c r="AK39" i="18"/>
  <c r="AK23" i="18"/>
  <c r="AK5" i="18"/>
  <c r="AD109" i="18"/>
  <c r="AJ150" i="18"/>
  <c r="AK19" i="18"/>
  <c r="AF131" i="18"/>
  <c r="T131" i="18" s="1"/>
  <c r="AI139" i="18"/>
  <c r="AK35" i="18"/>
  <c r="AK17" i="18"/>
  <c r="AJ134" i="18"/>
  <c r="AL140" i="18"/>
  <c r="T39" i="10"/>
  <c r="T19" i="10"/>
  <c r="AJ53" i="18"/>
  <c r="AI28" i="18"/>
  <c r="AI52" i="18"/>
  <c r="AJ14" i="18"/>
  <c r="F31" i="18"/>
  <c r="F13" i="18"/>
  <c r="F21" i="18"/>
  <c r="E63" i="18"/>
  <c r="AL13" i="18"/>
  <c r="AL64" i="18"/>
  <c r="AK40" i="18"/>
  <c r="AD94" i="18"/>
  <c r="AG3" i="18"/>
  <c r="AC47" i="18"/>
  <c r="AC26" i="18"/>
  <c r="AC63" i="18"/>
  <c r="AG107" i="18"/>
  <c r="AF61" i="18"/>
  <c r="T61" i="18" s="1"/>
  <c r="AE40" i="18"/>
  <c r="AJ51" i="18"/>
  <c r="AE31" i="18"/>
  <c r="AJ30" i="18"/>
  <c r="AF14" i="18"/>
  <c r="T14" i="18" s="1"/>
  <c r="R14" i="18" s="1"/>
  <c r="AI56" i="18"/>
  <c r="AI13" i="18"/>
  <c r="G3" i="18"/>
  <c r="G47" i="18"/>
  <c r="F26" i="18"/>
  <c r="G114" i="18"/>
  <c r="E26" i="18"/>
  <c r="AL26" i="18"/>
  <c r="AK14" i="18"/>
  <c r="AK21" i="18"/>
  <c r="AL51" i="18"/>
  <c r="AG94" i="18"/>
  <c r="AF3" i="18"/>
  <c r="T3" i="18" s="1"/>
  <c r="R3" i="18" s="1"/>
  <c r="AE47" i="18"/>
  <c r="AJ49" i="18"/>
  <c r="AE26" i="18"/>
  <c r="AE63" i="18"/>
  <c r="AJ61" i="18"/>
  <c r="AG64" i="18"/>
  <c r="AH21" i="18"/>
  <c r="AF13" i="18"/>
  <c r="T13" i="18" s="1"/>
  <c r="F107" i="18"/>
  <c r="G61" i="18"/>
  <c r="E47" i="18"/>
  <c r="E94" i="18"/>
  <c r="AK26" i="18"/>
  <c r="AK51" i="18"/>
  <c r="AL31" i="18"/>
  <c r="AC94" i="18"/>
  <c r="AE3" i="18"/>
  <c r="AJ47" i="18"/>
  <c r="AJ26" i="18"/>
  <c r="AJ63" i="18"/>
  <c r="AC114" i="18"/>
  <c r="AC64" i="18"/>
  <c r="AG21" i="18"/>
  <c r="AJ94" i="18"/>
  <c r="AC22" i="18"/>
  <c r="AI94" i="18"/>
  <c r="AE44" i="10" s="1"/>
  <c r="AI55" i="18"/>
  <c r="G94" i="18"/>
  <c r="G21" i="18"/>
  <c r="F51" i="18"/>
  <c r="F3" i="18"/>
  <c r="G26" i="18"/>
  <c r="E51" i="18"/>
  <c r="E114" i="18"/>
  <c r="AL114" i="18"/>
  <c r="AL61" i="18"/>
  <c r="AK94" i="18"/>
  <c r="AF94" i="18"/>
  <c r="T94" i="18" s="1"/>
  <c r="AJ3" i="18"/>
  <c r="AJ114" i="18"/>
  <c r="AF64" i="18"/>
  <c r="T64" i="18" s="1"/>
  <c r="AC21" i="18"/>
  <c r="AH40" i="18"/>
  <c r="AG51" i="18"/>
  <c r="AF22" i="18"/>
  <c r="T22" i="18" s="1"/>
  <c r="AJ23" i="18"/>
  <c r="E21" i="18"/>
  <c r="AK61" i="18"/>
  <c r="AE64" i="18"/>
  <c r="AF21" i="18"/>
  <c r="T21" i="18" s="1"/>
  <c r="R21" i="18" s="1"/>
  <c r="AG40" i="18"/>
  <c r="AC51" i="18"/>
  <c r="AH31" i="18"/>
  <c r="F14" i="18"/>
  <c r="G14" i="18"/>
  <c r="G107" i="18"/>
  <c r="E13" i="18"/>
  <c r="E40" i="18"/>
  <c r="E61" i="18"/>
  <c r="E107" i="18"/>
  <c r="AL63" i="18"/>
  <c r="AL107" i="18"/>
  <c r="AH61" i="18"/>
  <c r="V61" i="18" s="1"/>
  <c r="S61" i="18" s="1"/>
  <c r="AL3" i="18"/>
  <c r="AH47" i="18"/>
  <c r="AH26" i="18"/>
  <c r="AH63" i="18"/>
  <c r="AJ64" i="18"/>
  <c r="AE21" i="18"/>
  <c r="AC40" i="18"/>
  <c r="AF51" i="18"/>
  <c r="U51" i="18" s="1"/>
  <c r="AJ22" i="18"/>
  <c r="AC31" i="18"/>
  <c r="AF30" i="18"/>
  <c r="T30" i="18" s="1"/>
  <c r="AI61" i="18"/>
  <c r="E3" i="18"/>
  <c r="E14" i="18"/>
  <c r="AL47" i="18"/>
  <c r="AK63" i="18"/>
  <c r="AK107" i="18"/>
  <c r="AG61" i="18"/>
  <c r="AL40" i="18"/>
  <c r="AK3" i="18"/>
  <c r="AH3" i="18"/>
  <c r="AG47" i="18"/>
  <c r="AG26" i="18"/>
  <c r="AG63" i="18"/>
  <c r="AC61" i="18"/>
  <c r="AJ21" i="18"/>
  <c r="AF40" i="18"/>
  <c r="T40" i="18" s="1"/>
  <c r="AE51" i="18"/>
  <c r="AF31" i="18"/>
  <c r="T31" i="18" s="1"/>
  <c r="AE30" i="18"/>
  <c r="AG14" i="18"/>
  <c r="AI64" i="18"/>
  <c r="AI31" i="18"/>
  <c r="AG13" i="18"/>
  <c r="N52" i="10"/>
  <c r="R51" i="10"/>
  <c r="T8" i="10"/>
  <c r="S52" i="10"/>
  <c r="R52" i="10"/>
  <c r="M52" i="10"/>
  <c r="X52" i="10"/>
  <c r="M51" i="10"/>
  <c r="W52" i="10"/>
  <c r="T27" i="10"/>
  <c r="U40" i="10"/>
  <c r="T24" i="10"/>
  <c r="AI3" i="18"/>
  <c r="AI63" i="18"/>
  <c r="AD35" i="18"/>
  <c r="AH14" i="18"/>
  <c r="AC14" i="18"/>
  <c r="AI14" i="18"/>
  <c r="AD17" i="18"/>
  <c r="AI38" i="18"/>
  <c r="S139" i="18"/>
  <c r="S26" i="18"/>
  <c r="S76" i="18"/>
  <c r="S122" i="18"/>
  <c r="AI24" i="18"/>
  <c r="AD5" i="18"/>
  <c r="S77" i="18"/>
  <c r="AD56" i="18"/>
  <c r="AD58" i="18"/>
  <c r="R58" i="18" s="1"/>
  <c r="AI53" i="18"/>
  <c r="AD138" i="18"/>
  <c r="AC141" i="18"/>
  <c r="AH110" i="18"/>
  <c r="AJ102" i="18"/>
  <c r="AG138" i="18"/>
  <c r="G66" i="18"/>
  <c r="G110" i="18"/>
  <c r="G44" i="18"/>
  <c r="E44" i="18"/>
  <c r="AK152" i="18"/>
  <c r="AL34" i="18"/>
  <c r="AH15" i="18"/>
  <c r="AK143" i="18"/>
  <c r="AE71" i="18"/>
  <c r="AJ34" i="18"/>
  <c r="AJ15" i="18"/>
  <c r="AH42" i="18"/>
  <c r="AJ50" i="18"/>
  <c r="AI33" i="18"/>
  <c r="AD152" i="18"/>
  <c r="AC138" i="18"/>
  <c r="AI141" i="18"/>
  <c r="AE138" i="18"/>
  <c r="AJ110" i="18"/>
  <c r="AH138" i="18"/>
  <c r="F138" i="18"/>
  <c r="G34" i="18"/>
  <c r="G8" i="18"/>
  <c r="G102" i="18"/>
  <c r="AH152" i="18"/>
  <c r="AK34" i="18"/>
  <c r="AG15" i="18"/>
  <c r="AL49" i="18"/>
  <c r="AG143" i="18"/>
  <c r="AJ71" i="18"/>
  <c r="AH33" i="18"/>
  <c r="AG42" i="18"/>
  <c r="AF143" i="18"/>
  <c r="T143" i="18" s="1"/>
  <c r="AI66" i="18"/>
  <c r="AC102" i="18"/>
  <c r="E141" i="18"/>
  <c r="F42" i="18"/>
  <c r="G50" i="18"/>
  <c r="E71" i="18"/>
  <c r="E152" i="18"/>
  <c r="AG152" i="18"/>
  <c r="AK49" i="18"/>
  <c r="AL42" i="18"/>
  <c r="G143" i="18"/>
  <c r="AH49" i="18"/>
  <c r="AG33" i="18"/>
  <c r="AC42" i="18"/>
  <c r="AH8" i="18"/>
  <c r="AH10" i="18"/>
  <c r="AI49" i="18"/>
  <c r="AI50" i="18"/>
  <c r="AD15" i="18"/>
  <c r="AD143" i="18"/>
  <c r="AD102" i="18"/>
  <c r="AL141" i="18"/>
  <c r="AE143" i="18"/>
  <c r="AJ138" i="18"/>
  <c r="AI71" i="18"/>
  <c r="G138" i="18"/>
  <c r="G141" i="18"/>
  <c r="G42" i="18"/>
  <c r="F44" i="18"/>
  <c r="G15" i="18"/>
  <c r="G10" i="18"/>
  <c r="E15" i="18"/>
  <c r="AL71" i="18"/>
  <c r="AL66" i="18"/>
  <c r="AK42" i="18"/>
  <c r="AL33" i="18"/>
  <c r="AL44" i="18"/>
  <c r="AL10" i="18"/>
  <c r="F143" i="18"/>
  <c r="AG49" i="18"/>
  <c r="AC44" i="18"/>
  <c r="AC33" i="18"/>
  <c r="AC66" i="18"/>
  <c r="AH34" i="18"/>
  <c r="V34" i="18" s="1"/>
  <c r="S34" i="18" s="1"/>
  <c r="AF42" i="18"/>
  <c r="T42" i="18" s="1"/>
  <c r="AG8" i="18"/>
  <c r="AH50" i="18"/>
  <c r="AC10" i="18"/>
  <c r="AC143" i="18"/>
  <c r="AE141" i="18"/>
  <c r="AJ141" i="18"/>
  <c r="AF110" i="18"/>
  <c r="T110" i="18" s="1"/>
  <c r="AI110" i="18"/>
  <c r="AE7" i="10" s="1"/>
  <c r="AH143" i="18"/>
  <c r="V143" i="18" s="1"/>
  <c r="S143" i="18" s="1"/>
  <c r="AE110" i="18"/>
  <c r="AK71" i="18"/>
  <c r="F8" i="18"/>
  <c r="F15" i="18"/>
  <c r="F33" i="18"/>
  <c r="E8" i="18"/>
  <c r="E49" i="18"/>
  <c r="AH71" i="18"/>
  <c r="AH66" i="18"/>
  <c r="AK102" i="18"/>
  <c r="AK44" i="18"/>
  <c r="AK10" i="18"/>
  <c r="E143" i="18"/>
  <c r="AC49" i="18"/>
  <c r="AC152" i="18"/>
  <c r="AF44" i="18"/>
  <c r="T44" i="18" s="1"/>
  <c r="AF33" i="18"/>
  <c r="T33" i="18" s="1"/>
  <c r="AF66" i="18"/>
  <c r="T66" i="18" s="1"/>
  <c r="AG34" i="18"/>
  <c r="AF141" i="18"/>
  <c r="T141" i="18" s="1"/>
  <c r="AE42" i="18"/>
  <c r="AC8" i="18"/>
  <c r="AG50" i="18"/>
  <c r="AF10" i="18"/>
  <c r="T10" i="18" s="1"/>
  <c r="AI44" i="18"/>
  <c r="AI15" i="18"/>
  <c r="AI42" i="18"/>
  <c r="AD33" i="18"/>
  <c r="AI138" i="18"/>
  <c r="AE102" i="18"/>
  <c r="AI152" i="18"/>
  <c r="AH102" i="18"/>
  <c r="V102" i="18" s="1"/>
  <c r="F34" i="18"/>
  <c r="F71" i="18"/>
  <c r="G71" i="18"/>
  <c r="F49" i="18"/>
  <c r="F152" i="18"/>
  <c r="G33" i="18"/>
  <c r="E33" i="18"/>
  <c r="E50" i="18"/>
  <c r="E66" i="18"/>
  <c r="AG71" i="18"/>
  <c r="AG66" i="18"/>
  <c r="AL8" i="18"/>
  <c r="AL110" i="18"/>
  <c r="AH44" i="18"/>
  <c r="AK138" i="18"/>
  <c r="AF49" i="18"/>
  <c r="T49" i="18" s="1"/>
  <c r="AF152" i="18"/>
  <c r="T152" i="18" s="1"/>
  <c r="AE44" i="18"/>
  <c r="AE33" i="18"/>
  <c r="AE66" i="18"/>
  <c r="AC34" i="18"/>
  <c r="AC15" i="18"/>
  <c r="AJ42" i="18"/>
  <c r="AF8" i="18"/>
  <c r="T8" i="18" s="1"/>
  <c r="AC50" i="18"/>
  <c r="AE10" i="18"/>
  <c r="AI10" i="18"/>
  <c r="AD110" i="18"/>
  <c r="AL102" i="18"/>
  <c r="AF138" i="18"/>
  <c r="T138" i="18" s="1"/>
  <c r="AG110" i="18"/>
  <c r="AC110" i="18"/>
  <c r="AG141" i="18"/>
  <c r="F66" i="18"/>
  <c r="F110" i="18"/>
  <c r="F10" i="18"/>
  <c r="G49" i="18"/>
  <c r="F102" i="18"/>
  <c r="E10" i="18"/>
  <c r="E34" i="18"/>
  <c r="E42" i="18"/>
  <c r="E102" i="18"/>
  <c r="E110" i="18"/>
  <c r="E138" i="18"/>
  <c r="AK8" i="18"/>
  <c r="AG44" i="18"/>
  <c r="AE49" i="18"/>
  <c r="AE152" i="18"/>
  <c r="AJ44" i="18"/>
  <c r="AC71" i="18"/>
  <c r="AJ33" i="18"/>
  <c r="AJ66" i="18"/>
  <c r="AF34" i="18"/>
  <c r="T34" i="18" s="1"/>
  <c r="AF15" i="18"/>
  <c r="T15" i="18" s="1"/>
  <c r="AE8" i="18"/>
  <c r="AG102" i="18"/>
  <c r="AF50" i="18"/>
  <c r="T50" i="18" s="1"/>
  <c r="AJ10" i="18"/>
  <c r="AI34" i="18"/>
  <c r="AI36" i="18"/>
  <c r="AL2" i="18"/>
  <c r="AD22" i="18"/>
  <c r="AK54" i="18"/>
  <c r="AK145" i="18"/>
  <c r="F48" i="18"/>
  <c r="AI145" i="18"/>
  <c r="AH146" i="18"/>
  <c r="AC140" i="18"/>
  <c r="AL79" i="18"/>
  <c r="AK25" i="10"/>
  <c r="Q25" i="10" s="1"/>
  <c r="T25" i="10" s="1"/>
  <c r="AK22" i="10"/>
  <c r="Q22" i="10" s="1"/>
  <c r="T22" i="10" s="1"/>
  <c r="AK10" i="10"/>
  <c r="Q10" i="10" s="1"/>
  <c r="T10" i="10" s="1"/>
  <c r="U24" i="10"/>
  <c r="T13" i="10"/>
  <c r="U13" i="10"/>
  <c r="U27" i="10"/>
  <c r="AK4" i="10"/>
  <c r="Q4" i="10" s="1"/>
  <c r="U4" i="10" s="1"/>
  <c r="AK46" i="10"/>
  <c r="Q46" i="10" s="1"/>
  <c r="U46" i="10" s="1"/>
  <c r="AL69" i="18"/>
  <c r="AK11" i="18"/>
  <c r="AG146" i="18"/>
  <c r="AF48" i="18"/>
  <c r="T48" i="18" s="1"/>
  <c r="AH140" i="18"/>
  <c r="V140" i="18" s="1"/>
  <c r="S140" i="18" s="1"/>
  <c r="AK146" i="18"/>
  <c r="AE140" i="18"/>
  <c r="AK52" i="18"/>
  <c r="E146" i="18"/>
  <c r="G140" i="18"/>
  <c r="AG140" i="18"/>
  <c r="AD50" i="18"/>
  <c r="AK37" i="18"/>
  <c r="AI146" i="18"/>
  <c r="S65" i="18"/>
  <c r="S44" i="18"/>
  <c r="S141" i="18"/>
  <c r="S31" i="18"/>
  <c r="S30" i="18"/>
  <c r="S148" i="18"/>
  <c r="S52" i="18"/>
  <c r="S45" i="18"/>
  <c r="S8" i="18"/>
  <c r="T41" i="10"/>
  <c r="U41" i="10"/>
  <c r="U38" i="10"/>
  <c r="T38" i="10"/>
  <c r="AK12" i="10"/>
  <c r="Q12" i="10" s="1"/>
  <c r="U12" i="10" s="1"/>
  <c r="U5" i="10"/>
  <c r="T5" i="10"/>
  <c r="AK23" i="10"/>
  <c r="Q23" i="10" s="1"/>
  <c r="T35" i="10"/>
  <c r="U35" i="10"/>
  <c r="T2" i="10"/>
  <c r="U2" i="10"/>
  <c r="T45" i="10"/>
  <c r="U45" i="10"/>
  <c r="U30" i="10"/>
  <c r="T30" i="10"/>
  <c r="T20" i="10"/>
  <c r="U20" i="10"/>
  <c r="T11" i="10"/>
  <c r="U11" i="10"/>
  <c r="U29" i="10"/>
  <c r="T29" i="10"/>
  <c r="Q3" i="10"/>
  <c r="T16" i="10"/>
  <c r="U16" i="10"/>
  <c r="U36" i="10"/>
  <c r="T36" i="10"/>
  <c r="T31" i="10"/>
  <c r="U31" i="10"/>
  <c r="U28" i="10"/>
  <c r="T28" i="10"/>
  <c r="T43" i="10"/>
  <c r="U43" i="10"/>
  <c r="T37" i="10"/>
  <c r="U37" i="10"/>
  <c r="T18" i="10"/>
  <c r="U18" i="10"/>
  <c r="T34" i="10"/>
  <c r="U34" i="10"/>
  <c r="U42" i="10"/>
  <c r="T42" i="10"/>
  <c r="U39" i="10"/>
  <c r="U8" i="10"/>
  <c r="U19" i="10"/>
  <c r="T40" i="10"/>
  <c r="S126" i="18"/>
  <c r="S125" i="18"/>
  <c r="S86" i="18"/>
  <c r="S101" i="18"/>
  <c r="S75" i="18"/>
  <c r="S66" i="18"/>
  <c r="Q66" i="18"/>
  <c r="I48" i="10"/>
  <c r="AD39" i="18"/>
  <c r="AD64" i="18"/>
  <c r="AD12" i="18"/>
  <c r="E145" i="18"/>
  <c r="AJ146" i="18"/>
  <c r="AE146" i="18"/>
  <c r="G48" i="18"/>
  <c r="E140" i="18"/>
  <c r="AD140" i="18"/>
  <c r="S17" i="18"/>
  <c r="AE14" i="18"/>
  <c r="AI68" i="18"/>
  <c r="AI16" i="18"/>
  <c r="AI91" i="18"/>
  <c r="AD8" i="18"/>
  <c r="AD27" i="18"/>
  <c r="AD43" i="18"/>
  <c r="AL145" i="18"/>
  <c r="AL146" i="18"/>
  <c r="F140" i="18"/>
  <c r="AF140" i="18"/>
  <c r="T140" i="18" s="1"/>
  <c r="AL72" i="18"/>
  <c r="AD145" i="18"/>
  <c r="S15" i="18"/>
  <c r="S5" i="18"/>
  <c r="S90" i="18"/>
  <c r="AD65" i="18"/>
  <c r="AD32" i="18"/>
  <c r="AK72" i="18"/>
  <c r="AK62" i="18"/>
  <c r="AK25" i="18"/>
  <c r="F145" i="18"/>
  <c r="AK140" i="18"/>
  <c r="AD107" i="18"/>
  <c r="AG145" i="18"/>
  <c r="AH48" i="18"/>
  <c r="AF145" i="18"/>
  <c r="T145" i="18" s="1"/>
  <c r="G145" i="18"/>
  <c r="AI51" i="18"/>
  <c r="AE13" i="18"/>
  <c r="F23" i="18"/>
  <c r="AD47" i="18"/>
  <c r="AD146" i="18"/>
  <c r="AF146" i="18"/>
  <c r="T146" i="18" s="1"/>
  <c r="AK48" i="18"/>
  <c r="AI140" i="18"/>
  <c r="AF95" i="18"/>
  <c r="T95" i="18" s="1"/>
  <c r="S27" i="18"/>
  <c r="S55" i="18"/>
  <c r="AG10" i="18"/>
  <c r="AH51" i="18"/>
  <c r="AE36" i="18"/>
  <c r="AG31" i="18"/>
  <c r="AH30" i="18"/>
  <c r="AI26" i="18"/>
  <c r="AI67" i="18"/>
  <c r="AI40" i="18"/>
  <c r="AI57" i="18"/>
  <c r="AJ13" i="18"/>
  <c r="AJ145" i="18"/>
  <c r="F146" i="18"/>
  <c r="G146" i="18"/>
  <c r="AL48" i="18"/>
  <c r="AJ140" i="18"/>
  <c r="AD31" i="18"/>
  <c r="AC48" i="18"/>
  <c r="AE48" i="18"/>
  <c r="S118" i="18"/>
  <c r="S129" i="18"/>
  <c r="S138" i="18"/>
  <c r="AC30" i="18"/>
  <c r="AI47" i="18"/>
  <c r="AI30" i="18"/>
  <c r="AH13" i="18"/>
  <c r="AD13" i="18"/>
  <c r="AC145" i="18"/>
  <c r="AH145" i="18"/>
  <c r="E48" i="18"/>
  <c r="AD48" i="18"/>
  <c r="AG48" i="18"/>
  <c r="AI48" i="18"/>
  <c r="S103" i="18"/>
  <c r="S4" i="18"/>
  <c r="S110" i="18"/>
  <c r="S82" i="18"/>
  <c r="S9" i="18"/>
  <c r="S123" i="18"/>
  <c r="S71" i="18"/>
  <c r="S124" i="18"/>
  <c r="S115" i="18"/>
  <c r="W56" i="18"/>
  <c r="S56" i="18" s="1"/>
  <c r="S40" i="18"/>
  <c r="S7" i="18"/>
  <c r="S62" i="18"/>
  <c r="S149" i="18"/>
  <c r="S12" i="18"/>
  <c r="S70" i="18"/>
  <c r="S29" i="18"/>
  <c r="S89" i="18"/>
  <c r="S106" i="18"/>
  <c r="S33" i="18"/>
  <c r="S38" i="18"/>
  <c r="S96" i="18"/>
  <c r="S58" i="18"/>
  <c r="S22" i="18"/>
  <c r="S81" i="18"/>
  <c r="V19" i="18"/>
  <c r="S152" i="18"/>
  <c r="S20" i="18"/>
  <c r="S51" i="18"/>
  <c r="S28" i="18"/>
  <c r="S11" i="18"/>
  <c r="Q42" i="18"/>
  <c r="S36" i="18"/>
  <c r="S23" i="18"/>
  <c r="S49" i="18"/>
  <c r="S50" i="18"/>
  <c r="S109" i="18"/>
  <c r="S84" i="18"/>
  <c r="S131" i="18"/>
  <c r="S21" i="18"/>
  <c r="S151" i="18"/>
  <c r="S80" i="18"/>
  <c r="S95" i="18"/>
  <c r="S10" i="18"/>
  <c r="S98" i="18"/>
  <c r="S25" i="18"/>
  <c r="S147" i="18"/>
  <c r="S39" i="18"/>
  <c r="S69" i="18"/>
  <c r="S97" i="18"/>
  <c r="S145" i="18"/>
  <c r="S42" i="18"/>
  <c r="S94" i="18"/>
  <c r="S88" i="18"/>
  <c r="S48" i="18"/>
  <c r="S47" i="18"/>
  <c r="S100" i="18"/>
  <c r="S14" i="18"/>
  <c r="S113" i="18"/>
  <c r="S63" i="18"/>
  <c r="S13" i="18"/>
  <c r="S104" i="18"/>
  <c r="S73" i="18"/>
  <c r="S85" i="18"/>
  <c r="S64" i="18"/>
  <c r="S41" i="18"/>
  <c r="S146" i="18"/>
  <c r="S117" i="18"/>
  <c r="S43" i="18"/>
  <c r="S2" i="18"/>
  <c r="S3" i="18"/>
  <c r="S16" i="18"/>
  <c r="S35" i="18"/>
  <c r="S105" i="18"/>
  <c r="X26" i="18" l="1"/>
  <c r="Y6" i="18"/>
  <c r="Q14" i="18"/>
  <c r="Q13" i="18"/>
  <c r="R30" i="18"/>
  <c r="Y100" i="18"/>
  <c r="AJ52" i="10"/>
  <c r="R6" i="18"/>
  <c r="R91" i="18"/>
  <c r="Y17" i="18"/>
  <c r="R42" i="18"/>
  <c r="Y27" i="18"/>
  <c r="R40" i="18"/>
  <c r="X6" i="18"/>
  <c r="P6" i="18"/>
  <c r="R43" i="18"/>
  <c r="Z6" i="18"/>
  <c r="Y92" i="18"/>
  <c r="X136" i="18"/>
  <c r="R74" i="18"/>
  <c r="P128" i="18"/>
  <c r="Q69" i="18"/>
  <c r="P140" i="18"/>
  <c r="Q140" i="18"/>
  <c r="X46" i="18"/>
  <c r="R114" i="18"/>
  <c r="Y34" i="18"/>
  <c r="R49" i="18"/>
  <c r="R65" i="18"/>
  <c r="X34" i="18"/>
  <c r="T6" i="10"/>
  <c r="T14" i="10"/>
  <c r="W127" i="18"/>
  <c r="V127" i="18"/>
  <c r="Z127" i="18" s="1"/>
  <c r="T9" i="10"/>
  <c r="T21" i="10"/>
  <c r="T17" i="10"/>
  <c r="T33" i="10"/>
  <c r="X63" i="18"/>
  <c r="X71" i="18"/>
  <c r="X18" i="18"/>
  <c r="P17" i="18"/>
  <c r="S19" i="18"/>
  <c r="X9" i="18"/>
  <c r="X11" i="18"/>
  <c r="X54" i="18"/>
  <c r="R55" i="18"/>
  <c r="R23" i="18"/>
  <c r="R10" i="18"/>
  <c r="X39" i="18"/>
  <c r="R35" i="18"/>
  <c r="L48" i="10"/>
  <c r="AL48" i="10"/>
  <c r="V48" i="10" s="1"/>
  <c r="AI52" i="10"/>
  <c r="AI51" i="10"/>
  <c r="Y18" i="18"/>
  <c r="R20" i="18"/>
  <c r="Y43" i="18"/>
  <c r="Z27" i="18"/>
  <c r="Y41" i="18"/>
  <c r="X28" i="18"/>
  <c r="R36" i="18"/>
  <c r="R25" i="18"/>
  <c r="R28" i="18"/>
  <c r="R29" i="18"/>
  <c r="Y39" i="18"/>
  <c r="X38" i="18"/>
  <c r="R32" i="18"/>
  <c r="Q2" i="18"/>
  <c r="Y62" i="18"/>
  <c r="Y9" i="18"/>
  <c r="R27" i="18"/>
  <c r="W46" i="18"/>
  <c r="S46" i="18" s="1"/>
  <c r="P39" i="18"/>
  <c r="R53" i="18"/>
  <c r="R41" i="18"/>
  <c r="X67" i="18"/>
  <c r="Y32" i="18"/>
  <c r="X32" i="18"/>
  <c r="Y11" i="18"/>
  <c r="Q20" i="18"/>
  <c r="P46" i="18"/>
  <c r="AE18" i="10"/>
  <c r="AF18" i="10" s="1"/>
  <c r="X41" i="18"/>
  <c r="Q43" i="18"/>
  <c r="R38" i="18"/>
  <c r="J51" i="10"/>
  <c r="AE36" i="10"/>
  <c r="AF36" i="10" s="1"/>
  <c r="Q11" i="18"/>
  <c r="R54" i="18"/>
  <c r="AE30" i="10"/>
  <c r="AF30" i="10" s="1"/>
  <c r="P28" i="18"/>
  <c r="R34" i="18"/>
  <c r="Q27" i="18"/>
  <c r="Y15" i="18"/>
  <c r="X52" i="18"/>
  <c r="Y4" i="18"/>
  <c r="Q54" i="18"/>
  <c r="R26" i="18"/>
  <c r="X19" i="18"/>
  <c r="R83" i="18"/>
  <c r="P27" i="18"/>
  <c r="R45" i="18"/>
  <c r="R11" i="18"/>
  <c r="Z58" i="18"/>
  <c r="X24" i="18"/>
  <c r="Z9" i="18"/>
  <c r="Y35" i="18"/>
  <c r="Z32" i="18"/>
  <c r="R87" i="18"/>
  <c r="Y12" i="18"/>
  <c r="X2" i="18"/>
  <c r="Z17" i="18"/>
  <c r="R67" i="18"/>
  <c r="R18" i="18"/>
  <c r="R52" i="18"/>
  <c r="Q32" i="18"/>
  <c r="R17" i="18"/>
  <c r="Q18" i="18"/>
  <c r="X43" i="18"/>
  <c r="X87" i="18"/>
  <c r="P87" i="18"/>
  <c r="Z18" i="18"/>
  <c r="Z35" i="18"/>
  <c r="W24" i="18"/>
  <c r="S24" i="18" s="1"/>
  <c r="Y19" i="18"/>
  <c r="AJ51" i="10"/>
  <c r="P18" i="18"/>
  <c r="P32" i="18"/>
  <c r="P67" i="18"/>
  <c r="R12" i="18"/>
  <c r="P24" i="18"/>
  <c r="Z52" i="18"/>
  <c r="R16" i="18"/>
  <c r="R62" i="18"/>
  <c r="Z87" i="18"/>
  <c r="Z83" i="18"/>
  <c r="U2" i="18"/>
  <c r="R2" i="18" s="1"/>
  <c r="Q17" i="18"/>
  <c r="R47" i="18"/>
  <c r="R44" i="18"/>
  <c r="K51" i="10"/>
  <c r="X61" i="18"/>
  <c r="R61" i="18"/>
  <c r="P35" i="18"/>
  <c r="R37" i="18"/>
  <c r="U26" i="10"/>
  <c r="Y87" i="18"/>
  <c r="P83" i="18"/>
  <c r="X83" i="18"/>
  <c r="Y83" i="18"/>
  <c r="Y46" i="18"/>
  <c r="Z41" i="18"/>
  <c r="Z43" i="18"/>
  <c r="X55" i="18"/>
  <c r="Y58" i="18"/>
  <c r="P4" i="18"/>
  <c r="Z25" i="18"/>
  <c r="X45" i="18"/>
  <c r="Q25" i="18"/>
  <c r="Q46" i="18"/>
  <c r="AE35" i="10"/>
  <c r="AF35" i="10" s="1"/>
  <c r="P43" i="18"/>
  <c r="P57" i="18"/>
  <c r="AE5" i="10"/>
  <c r="AF5" i="10" s="1"/>
  <c r="Y61" i="18"/>
  <c r="Y137" i="18"/>
  <c r="X70" i="18"/>
  <c r="Y70" i="18"/>
  <c r="X35" i="18"/>
  <c r="X57" i="18"/>
  <c r="R115" i="18"/>
  <c r="T4" i="18"/>
  <c r="R4" i="18" s="1"/>
  <c r="Q58" i="18"/>
  <c r="P25" i="18"/>
  <c r="Q41" i="18"/>
  <c r="X137" i="18"/>
  <c r="R102" i="18"/>
  <c r="R82" i="18"/>
  <c r="Z119" i="18"/>
  <c r="R128" i="18"/>
  <c r="Z65" i="18"/>
  <c r="R56" i="18"/>
  <c r="R132" i="18"/>
  <c r="R144" i="18"/>
  <c r="X56" i="18"/>
  <c r="Y25" i="18"/>
  <c r="Q60" i="18"/>
  <c r="P41" i="18"/>
  <c r="Y37" i="18"/>
  <c r="X22" i="18"/>
  <c r="X58" i="18"/>
  <c r="R80" i="18"/>
  <c r="P54" i="18"/>
  <c r="Z29" i="18"/>
  <c r="X72" i="18"/>
  <c r="Z12" i="18"/>
  <c r="Y23" i="18"/>
  <c r="Z2" i="18"/>
  <c r="Q29" i="18"/>
  <c r="X20" i="18"/>
  <c r="Z55" i="18"/>
  <c r="Y116" i="18"/>
  <c r="P99" i="18"/>
  <c r="Y127" i="18"/>
  <c r="Y117" i="18"/>
  <c r="X29" i="18"/>
  <c r="P60" i="18"/>
  <c r="Z11" i="18"/>
  <c r="Y2" i="18"/>
  <c r="Z54" i="18"/>
  <c r="Z7" i="18"/>
  <c r="P11" i="18"/>
  <c r="Z53" i="18"/>
  <c r="R104" i="18"/>
  <c r="Y88" i="18"/>
  <c r="R112" i="18"/>
  <c r="P2" i="18"/>
  <c r="X99" i="18"/>
  <c r="Y54" i="18"/>
  <c r="R120" i="18"/>
  <c r="X88" i="18"/>
  <c r="R13" i="18"/>
  <c r="Y133" i="18"/>
  <c r="X7" i="18"/>
  <c r="Z23" i="18"/>
  <c r="Q62" i="18"/>
  <c r="P20" i="18"/>
  <c r="X114" i="18"/>
  <c r="X108" i="18"/>
  <c r="R125" i="18"/>
  <c r="Q28" i="18"/>
  <c r="P58" i="18"/>
  <c r="T26" i="10"/>
  <c r="Y50" i="18"/>
  <c r="R100" i="18"/>
  <c r="Y99" i="18"/>
  <c r="AE25" i="10"/>
  <c r="AF25" i="10" s="1"/>
  <c r="AE2" i="10"/>
  <c r="AF2" i="10" s="1"/>
  <c r="Y124" i="18"/>
  <c r="Y7" i="18"/>
  <c r="X53" i="18"/>
  <c r="X129" i="18"/>
  <c r="X98" i="18"/>
  <c r="X68" i="18"/>
  <c r="Z20" i="18"/>
  <c r="X59" i="18"/>
  <c r="X27" i="18"/>
  <c r="Y20" i="18"/>
  <c r="Y120" i="18"/>
  <c r="P19" i="18"/>
  <c r="R90" i="18"/>
  <c r="P65" i="18"/>
  <c r="X12" i="18"/>
  <c r="Z60" i="18"/>
  <c r="P23" i="18"/>
  <c r="R95" i="18"/>
  <c r="Y60" i="18"/>
  <c r="P7" i="18"/>
  <c r="Y29" i="18"/>
  <c r="R96" i="18"/>
  <c r="R148" i="18"/>
  <c r="X60" i="18"/>
  <c r="Q19" i="18"/>
  <c r="Y111" i="18"/>
  <c r="P12" i="18"/>
  <c r="Z31" i="18"/>
  <c r="AE9" i="10"/>
  <c r="AF9" i="10" s="1"/>
  <c r="Z45" i="18"/>
  <c r="R139" i="18"/>
  <c r="Y128" i="18"/>
  <c r="Z81" i="18"/>
  <c r="R68" i="18"/>
  <c r="Z62" i="18"/>
  <c r="AE13" i="10"/>
  <c r="AF13" i="10" s="1"/>
  <c r="Z134" i="18"/>
  <c r="R147" i="18"/>
  <c r="Y5" i="18"/>
  <c r="R117" i="18"/>
  <c r="Y119" i="18"/>
  <c r="X100" i="18"/>
  <c r="P76" i="18"/>
  <c r="R73" i="18"/>
  <c r="R106" i="18"/>
  <c r="R113" i="18"/>
  <c r="X117" i="18"/>
  <c r="X89" i="18"/>
  <c r="X103" i="18"/>
  <c r="Z59" i="18"/>
  <c r="X25" i="18"/>
  <c r="Y31" i="18"/>
  <c r="AE46" i="10"/>
  <c r="AF46" i="10" s="1"/>
  <c r="Q23" i="18"/>
  <c r="Y45" i="18"/>
  <c r="Q45" i="18"/>
  <c r="T109" i="18"/>
  <c r="Z109" i="18" s="1"/>
  <c r="X5" i="18"/>
  <c r="Y59" i="18"/>
  <c r="P62" i="18"/>
  <c r="Z28" i="18"/>
  <c r="P5" i="18"/>
  <c r="Y149" i="18"/>
  <c r="Y22" i="18"/>
  <c r="Z5" i="18"/>
  <c r="Q53" i="18"/>
  <c r="P136" i="18"/>
  <c r="Y134" i="18"/>
  <c r="W37" i="18"/>
  <c r="S37" i="18" s="1"/>
  <c r="R84" i="18"/>
  <c r="Q89" i="18"/>
  <c r="Y103" i="18"/>
  <c r="R89" i="18"/>
  <c r="X147" i="18"/>
  <c r="AE39" i="10"/>
  <c r="AF39" i="10" s="1"/>
  <c r="X92" i="18"/>
  <c r="P59" i="18"/>
  <c r="X15" i="18"/>
  <c r="R59" i="18"/>
  <c r="R123" i="18"/>
  <c r="R93" i="18"/>
  <c r="Y126" i="18"/>
  <c r="X113" i="18"/>
  <c r="Y97" i="18"/>
  <c r="Z149" i="18"/>
  <c r="P29" i="18"/>
  <c r="X64" i="18"/>
  <c r="Q39" i="18"/>
  <c r="Z47" i="18"/>
  <c r="X3" i="18"/>
  <c r="P113" i="18"/>
  <c r="Q104" i="18"/>
  <c r="Q126" i="18"/>
  <c r="X16" i="18"/>
  <c r="R5" i="18"/>
  <c r="X47" i="18"/>
  <c r="Z22" i="18"/>
  <c r="X111" i="18"/>
  <c r="Q90" i="18"/>
  <c r="Q59" i="18"/>
  <c r="Y75" i="18"/>
  <c r="Q98" i="18"/>
  <c r="Q124" i="18"/>
  <c r="P124" i="18"/>
  <c r="Q96" i="18"/>
  <c r="R103" i="18"/>
  <c r="Y108" i="18"/>
  <c r="P37" i="18"/>
  <c r="Y16" i="18"/>
  <c r="X94" i="18"/>
  <c r="Y94" i="18"/>
  <c r="Q22" i="18"/>
  <c r="X75" i="18"/>
  <c r="P45" i="18"/>
  <c r="X37" i="18"/>
  <c r="X115" i="18"/>
  <c r="P63" i="18"/>
  <c r="X65" i="18"/>
  <c r="X148" i="18"/>
  <c r="Y65" i="18"/>
  <c r="R66" i="18"/>
  <c r="X106" i="18"/>
  <c r="P81" i="18"/>
  <c r="X128" i="18"/>
  <c r="X132" i="18"/>
  <c r="X81" i="18"/>
  <c r="P120" i="18"/>
  <c r="Q24" i="18"/>
  <c r="Q120" i="18"/>
  <c r="P96" i="18"/>
  <c r="P144" i="18"/>
  <c r="P121" i="18"/>
  <c r="X109" i="18"/>
  <c r="Y95" i="18"/>
  <c r="X31" i="18"/>
  <c r="AE8" i="10"/>
  <c r="AF8" i="10" s="1"/>
  <c r="Y24" i="18"/>
  <c r="Q55" i="18"/>
  <c r="R64" i="18"/>
  <c r="AE27" i="10"/>
  <c r="AF27" i="10" s="1"/>
  <c r="R149" i="18"/>
  <c r="Z24" i="18"/>
  <c r="Y53" i="18"/>
  <c r="P79" i="18"/>
  <c r="P55" i="18"/>
  <c r="AE43" i="10"/>
  <c r="AF43" i="10" s="1"/>
  <c r="R143" i="18"/>
  <c r="AE31" i="10"/>
  <c r="AF31" i="10" s="1"/>
  <c r="R126" i="18"/>
  <c r="Z135" i="18"/>
  <c r="Y114" i="18"/>
  <c r="Y139" i="18"/>
  <c r="R151" i="18"/>
  <c r="R116" i="18"/>
  <c r="R101" i="18"/>
  <c r="Y28" i="18"/>
  <c r="R141" i="18"/>
  <c r="X76" i="18"/>
  <c r="Z76" i="18"/>
  <c r="AE37" i="10"/>
  <c r="AF37" i="10" s="1"/>
  <c r="Y63" i="18"/>
  <c r="Y76" i="18"/>
  <c r="X151" i="18"/>
  <c r="P3" i="18"/>
  <c r="R129" i="18"/>
  <c r="Z94" i="18"/>
  <c r="P134" i="18"/>
  <c r="Q123" i="18"/>
  <c r="Y77" i="18"/>
  <c r="X149" i="18"/>
  <c r="AE21" i="10"/>
  <c r="AF21" i="10" s="1"/>
  <c r="X95" i="18"/>
  <c r="Q103" i="18"/>
  <c r="X82" i="18"/>
  <c r="R75" i="18"/>
  <c r="X85" i="18"/>
  <c r="R71" i="18"/>
  <c r="X62" i="18"/>
  <c r="P31" i="18"/>
  <c r="X150" i="18"/>
  <c r="Z85" i="18"/>
  <c r="X97" i="18"/>
  <c r="Q118" i="18"/>
  <c r="Z79" i="18"/>
  <c r="Q132" i="18"/>
  <c r="Z70" i="18"/>
  <c r="Y74" i="18"/>
  <c r="AE29" i="10"/>
  <c r="AF29" i="10" s="1"/>
  <c r="R127" i="18"/>
  <c r="Y21" i="18"/>
  <c r="Q74" i="18"/>
  <c r="R31" i="18"/>
  <c r="Z63" i="18"/>
  <c r="Y49" i="18"/>
  <c r="Z118" i="18"/>
  <c r="X105" i="18"/>
  <c r="Z74" i="18"/>
  <c r="Z137" i="18"/>
  <c r="X10" i="18"/>
  <c r="P9" i="18"/>
  <c r="R130" i="18"/>
  <c r="Y52" i="18"/>
  <c r="P90" i="18"/>
  <c r="P125" i="18"/>
  <c r="X42" i="18"/>
  <c r="Y44" i="18"/>
  <c r="Q102" i="18"/>
  <c r="Y107" i="18"/>
  <c r="Y82" i="18"/>
  <c r="P70" i="18"/>
  <c r="Z132" i="18"/>
  <c r="X142" i="18"/>
  <c r="Y105" i="18"/>
  <c r="Z77" i="18"/>
  <c r="Y118" i="18"/>
  <c r="Z75" i="18"/>
  <c r="Q93" i="18"/>
  <c r="R94" i="18"/>
  <c r="P77" i="18"/>
  <c r="X152" i="18"/>
  <c r="P75" i="18"/>
  <c r="W93" i="18"/>
  <c r="S93" i="18" s="1"/>
  <c r="R118" i="18"/>
  <c r="X23" i="18"/>
  <c r="Z102" i="18"/>
  <c r="Z80" i="18"/>
  <c r="P80" i="18"/>
  <c r="Y152" i="18"/>
  <c r="X80" i="18"/>
  <c r="P118" i="18"/>
  <c r="AE40" i="10"/>
  <c r="AF40" i="10" s="1"/>
  <c r="Q114" i="18"/>
  <c r="Z92" i="18"/>
  <c r="R70" i="18"/>
  <c r="X134" i="18"/>
  <c r="X118" i="18"/>
  <c r="Y147" i="18"/>
  <c r="Y135" i="18"/>
  <c r="Y85" i="18"/>
  <c r="Z105" i="18"/>
  <c r="Z101" i="18"/>
  <c r="R122" i="18"/>
  <c r="Q40" i="18"/>
  <c r="AE10" i="10"/>
  <c r="AF10" i="10" s="1"/>
  <c r="P94" i="18"/>
  <c r="Y38" i="18"/>
  <c r="R33" i="18"/>
  <c r="Q26" i="18"/>
  <c r="Z38" i="18"/>
  <c r="P38" i="18"/>
  <c r="X77" i="18"/>
  <c r="Q64" i="18"/>
  <c r="Q21" i="18"/>
  <c r="Z84" i="18"/>
  <c r="X125" i="18"/>
  <c r="Z133" i="18"/>
  <c r="Y72" i="18"/>
  <c r="R110" i="18"/>
  <c r="R50" i="18"/>
  <c r="R77" i="18"/>
  <c r="X133" i="18"/>
  <c r="R72" i="18"/>
  <c r="Y42" i="18"/>
  <c r="R98" i="18"/>
  <c r="Z93" i="18"/>
  <c r="Q115" i="18"/>
  <c r="Z125" i="18"/>
  <c r="X124" i="18"/>
  <c r="Z112" i="18"/>
  <c r="Z115" i="18"/>
  <c r="Z136" i="18"/>
  <c r="X135" i="18"/>
  <c r="R88" i="18"/>
  <c r="P119" i="18"/>
  <c r="Y130" i="18"/>
  <c r="Z103" i="18"/>
  <c r="AE17" i="10"/>
  <c r="AF17" i="10" s="1"/>
  <c r="R69" i="18"/>
  <c r="Z44" i="18"/>
  <c r="P102" i="18"/>
  <c r="Z34" i="18"/>
  <c r="X66" i="18"/>
  <c r="P51" i="18"/>
  <c r="Z139" i="18"/>
  <c r="X131" i="18"/>
  <c r="Z98" i="18"/>
  <c r="R119" i="18"/>
  <c r="P111" i="18"/>
  <c r="X126" i="18"/>
  <c r="Z124" i="18"/>
  <c r="P149" i="18"/>
  <c r="Y122" i="18"/>
  <c r="R150" i="18"/>
  <c r="Z82" i="18"/>
  <c r="P98" i="18"/>
  <c r="Z117" i="18"/>
  <c r="Q80" i="18"/>
  <c r="Q119" i="18"/>
  <c r="R142" i="18"/>
  <c r="Y89" i="18"/>
  <c r="Z96" i="18"/>
  <c r="P139" i="18"/>
  <c r="AE12" i="10"/>
  <c r="AF12" i="10" s="1"/>
  <c r="Y84" i="18"/>
  <c r="Z72" i="18"/>
  <c r="Q117" i="18"/>
  <c r="Q8" i="18"/>
  <c r="Z116" i="18"/>
  <c r="Q84" i="18"/>
  <c r="Y101" i="18"/>
  <c r="P115" i="18"/>
  <c r="AE26" i="10"/>
  <c r="AF26" i="10" s="1"/>
  <c r="P148" i="18"/>
  <c r="P129" i="18"/>
  <c r="P117" i="18"/>
  <c r="P56" i="18"/>
  <c r="P82" i="18"/>
  <c r="AE45" i="10"/>
  <c r="AF45" i="10" s="1"/>
  <c r="Z123" i="18"/>
  <c r="Z121" i="18"/>
  <c r="P126" i="18"/>
  <c r="X91" i="18"/>
  <c r="X119" i="18"/>
  <c r="Q109" i="18"/>
  <c r="Q56" i="18"/>
  <c r="Q72" i="18"/>
  <c r="Y79" i="18"/>
  <c r="Z122" i="18"/>
  <c r="Y98" i="18"/>
  <c r="X33" i="18"/>
  <c r="R48" i="18"/>
  <c r="P44" i="18"/>
  <c r="Q129" i="18"/>
  <c r="Q94" i="18"/>
  <c r="Z151" i="18"/>
  <c r="Q101" i="18"/>
  <c r="AE20" i="10"/>
  <c r="AF20" i="10" s="1"/>
  <c r="Y115" i="18"/>
  <c r="Z89" i="18"/>
  <c r="Y96" i="18"/>
  <c r="Y148" i="18"/>
  <c r="X51" i="18"/>
  <c r="Y123" i="18"/>
  <c r="Y55" i="18"/>
  <c r="X86" i="18"/>
  <c r="P108" i="18"/>
  <c r="R131" i="18"/>
  <c r="R107" i="18"/>
  <c r="Q105" i="18"/>
  <c r="R86" i="18"/>
  <c r="Q113" i="18"/>
  <c r="AE38" i="10"/>
  <c r="AF38" i="10" s="1"/>
  <c r="P100" i="18"/>
  <c r="X74" i="18"/>
  <c r="X96" i="18"/>
  <c r="Y86" i="18"/>
  <c r="X144" i="18"/>
  <c r="R105" i="18"/>
  <c r="Q88" i="18"/>
  <c r="P85" i="18"/>
  <c r="Q121" i="18"/>
  <c r="P93" i="18"/>
  <c r="X101" i="18"/>
  <c r="X84" i="18"/>
  <c r="Z73" i="18"/>
  <c r="P123" i="18"/>
  <c r="R97" i="18"/>
  <c r="Z78" i="18"/>
  <c r="P147" i="18"/>
  <c r="P78" i="18"/>
  <c r="Q125" i="18"/>
  <c r="P127" i="18"/>
  <c r="Q95" i="18"/>
  <c r="P109" i="18"/>
  <c r="Y78" i="18"/>
  <c r="Z142" i="18"/>
  <c r="R121" i="18"/>
  <c r="R76" i="18"/>
  <c r="Z144" i="18"/>
  <c r="AE16" i="10"/>
  <c r="AF16" i="10" s="1"/>
  <c r="Z126" i="18"/>
  <c r="Z64" i="18"/>
  <c r="P137" i="18"/>
  <c r="P101" i="18"/>
  <c r="Q111" i="18"/>
  <c r="T51" i="18"/>
  <c r="R51" i="18" s="1"/>
  <c r="Y56" i="18"/>
  <c r="X120" i="18"/>
  <c r="P53" i="18"/>
  <c r="Z69" i="18"/>
  <c r="X139" i="18"/>
  <c r="Z120" i="18"/>
  <c r="Q107" i="18"/>
  <c r="Z56" i="18"/>
  <c r="P122" i="18"/>
  <c r="P135" i="18"/>
  <c r="Y125" i="18"/>
  <c r="Q122" i="18"/>
  <c r="W102" i="18"/>
  <c r="S102" i="18" s="1"/>
  <c r="AE22" i="10"/>
  <c r="AF22" i="10" s="1"/>
  <c r="Z106" i="18"/>
  <c r="X143" i="18"/>
  <c r="Y121" i="18"/>
  <c r="S136" i="18"/>
  <c r="AE42" i="10"/>
  <c r="AF42" i="10" s="1"/>
  <c r="X112" i="18"/>
  <c r="Z3" i="18"/>
  <c r="P34" i="18"/>
  <c r="P105" i="18"/>
  <c r="Z129" i="18"/>
  <c r="X79" i="18"/>
  <c r="P130" i="18"/>
  <c r="P112" i="18"/>
  <c r="P69" i="18"/>
  <c r="P116" i="18"/>
  <c r="Y80" i="18"/>
  <c r="Z61" i="18"/>
  <c r="Q130" i="18"/>
  <c r="Y132" i="18"/>
  <c r="Q112" i="18"/>
  <c r="Q100" i="18"/>
  <c r="Y112" i="18"/>
  <c r="Z148" i="18"/>
  <c r="X121" i="18"/>
  <c r="P26" i="18"/>
  <c r="Y129" i="18"/>
  <c r="Y93" i="18"/>
  <c r="Y64" i="18"/>
  <c r="U108" i="18"/>
  <c r="R108" i="18" s="1"/>
  <c r="X122" i="18"/>
  <c r="X130" i="18"/>
  <c r="X116" i="18"/>
  <c r="Y81" i="18"/>
  <c r="Y136" i="18"/>
  <c r="P89" i="18"/>
  <c r="Z130" i="18"/>
  <c r="P132" i="18"/>
  <c r="P103" i="18"/>
  <c r="X69" i="18"/>
  <c r="Q127" i="18"/>
  <c r="Y109" i="18"/>
  <c r="X90" i="18"/>
  <c r="P107" i="18"/>
  <c r="P97" i="18"/>
  <c r="Y138" i="18"/>
  <c r="P71" i="18"/>
  <c r="P64" i="18"/>
  <c r="Q108" i="18"/>
  <c r="Z104" i="18"/>
  <c r="P74" i="18"/>
  <c r="Z113" i="18"/>
  <c r="Z97" i="18"/>
  <c r="Z107" i="18"/>
  <c r="Q63" i="18"/>
  <c r="X123" i="18"/>
  <c r="X107" i="18"/>
  <c r="P84" i="18"/>
  <c r="Q92" i="18"/>
  <c r="Q116" i="18"/>
  <c r="P10" i="18"/>
  <c r="Z147" i="18"/>
  <c r="P133" i="18"/>
  <c r="X44" i="18"/>
  <c r="V108" i="18"/>
  <c r="S108" i="18" s="1"/>
  <c r="Z90" i="18"/>
  <c r="X145" i="18"/>
  <c r="Y106" i="18"/>
  <c r="P150" i="18"/>
  <c r="P142" i="18"/>
  <c r="S78" i="18"/>
  <c r="Q99" i="18"/>
  <c r="X127" i="18"/>
  <c r="Z86" i="18"/>
  <c r="X138" i="18"/>
  <c r="P86" i="18"/>
  <c r="Z88" i="18"/>
  <c r="X78" i="18"/>
  <c r="Z10" i="18"/>
  <c r="P106" i="18"/>
  <c r="P92" i="18"/>
  <c r="Y145" i="18"/>
  <c r="Y150" i="18"/>
  <c r="Q142" i="18"/>
  <c r="Y144" i="18"/>
  <c r="P88" i="18"/>
  <c r="AE14" i="10"/>
  <c r="AF14" i="10" s="1"/>
  <c r="X93" i="18"/>
  <c r="R92" i="18"/>
  <c r="Z100" i="18"/>
  <c r="Z67" i="18"/>
  <c r="Z131" i="18"/>
  <c r="Q86" i="18"/>
  <c r="Q144" i="18"/>
  <c r="P52" i="18"/>
  <c r="X21" i="18"/>
  <c r="P104" i="18"/>
  <c r="P73" i="18"/>
  <c r="AE28" i="10"/>
  <c r="AF28" i="10" s="1"/>
  <c r="Z150" i="18"/>
  <c r="Q128" i="18"/>
  <c r="Q97" i="18"/>
  <c r="Y90" i="18"/>
  <c r="Q106" i="18"/>
  <c r="Y113" i="18"/>
  <c r="AE4" i="10"/>
  <c r="AF4" i="10" s="1"/>
  <c r="Y73" i="18"/>
  <c r="Y104" i="18"/>
  <c r="X73" i="18"/>
  <c r="Y131" i="18"/>
  <c r="Y142" i="18"/>
  <c r="P72" i="18"/>
  <c r="P131" i="18"/>
  <c r="Y143" i="18"/>
  <c r="Y33" i="18"/>
  <c r="V128" i="18"/>
  <c r="Z128" i="18" s="1"/>
  <c r="X104" i="18"/>
  <c r="Q91" i="18"/>
  <c r="Y151" i="18"/>
  <c r="Z110" i="18"/>
  <c r="Z152" i="18"/>
  <c r="R145" i="18"/>
  <c r="P138" i="18"/>
  <c r="Z146" i="18"/>
  <c r="Z33" i="18"/>
  <c r="Z71" i="18"/>
  <c r="R22" i="18"/>
  <c r="U140" i="18"/>
  <c r="R140" i="18" s="1"/>
  <c r="P61" i="18"/>
  <c r="Z95" i="18"/>
  <c r="P152" i="18"/>
  <c r="P21" i="18"/>
  <c r="Q16" i="18"/>
  <c r="Q31" i="18"/>
  <c r="X30" i="18"/>
  <c r="P40" i="18"/>
  <c r="P110" i="18"/>
  <c r="Z21" i="18"/>
  <c r="P22" i="18"/>
  <c r="Z42" i="18"/>
  <c r="P50" i="18"/>
  <c r="P114" i="18"/>
  <c r="Z16" i="18"/>
  <c r="Z114" i="18"/>
  <c r="Y8" i="18"/>
  <c r="Y146" i="18"/>
  <c r="P16" i="18"/>
  <c r="Y30" i="18"/>
  <c r="X40" i="18"/>
  <c r="Y102" i="18"/>
  <c r="Q61" i="18"/>
  <c r="X102" i="18"/>
  <c r="Z50" i="18"/>
  <c r="Z66" i="18"/>
  <c r="Z138" i="18"/>
  <c r="AE34" i="10"/>
  <c r="AF34" i="10" s="1"/>
  <c r="P15" i="18"/>
  <c r="Q50" i="18"/>
  <c r="Y140" i="18"/>
  <c r="Y3" i="18"/>
  <c r="Z141" i="18"/>
  <c r="P91" i="18"/>
  <c r="P95" i="18"/>
  <c r="X140" i="18"/>
  <c r="X50" i="18"/>
  <c r="P42" i="18"/>
  <c r="X141" i="18"/>
  <c r="Y110" i="18"/>
  <c r="Z140" i="18"/>
  <c r="Q49" i="18"/>
  <c r="Q47" i="18"/>
  <c r="P141" i="18"/>
  <c r="Y71" i="18"/>
  <c r="Z40" i="18"/>
  <c r="Y91" i="18"/>
  <c r="Y66" i="18"/>
  <c r="X110" i="18"/>
  <c r="X8" i="18"/>
  <c r="Y40" i="18"/>
  <c r="P47" i="18"/>
  <c r="R138" i="18"/>
  <c r="R146" i="18"/>
  <c r="Y67" i="18"/>
  <c r="AE19" i="10"/>
  <c r="AF19" i="10" s="1"/>
  <c r="X49" i="18"/>
  <c r="Y141" i="18"/>
  <c r="Z13" i="18"/>
  <c r="Q67" i="18"/>
  <c r="U22" i="10"/>
  <c r="Y13" i="18"/>
  <c r="P66" i="18"/>
  <c r="R15" i="18"/>
  <c r="Q10" i="18"/>
  <c r="AE6" i="10"/>
  <c r="AF6" i="10" s="1"/>
  <c r="R8" i="18"/>
  <c r="Z143" i="18"/>
  <c r="P33" i="18"/>
  <c r="R152" i="18"/>
  <c r="Q33" i="18"/>
  <c r="Z15" i="18"/>
  <c r="Z68" i="18"/>
  <c r="Q110" i="18"/>
  <c r="P8" i="18"/>
  <c r="Q44" i="18"/>
  <c r="Y10" i="18"/>
  <c r="Z49" i="18"/>
  <c r="X48" i="18"/>
  <c r="Z8" i="18"/>
  <c r="Q34" i="18"/>
  <c r="X13" i="18"/>
  <c r="U25" i="10"/>
  <c r="U10" i="10"/>
  <c r="T4" i="10"/>
  <c r="AK52" i="10"/>
  <c r="T46" i="10"/>
  <c r="X146" i="18"/>
  <c r="P13" i="18"/>
  <c r="P68" i="18"/>
  <c r="Y48" i="18"/>
  <c r="Y68" i="18"/>
  <c r="Q68" i="18"/>
  <c r="Z145" i="18"/>
  <c r="AE3" i="10"/>
  <c r="AF3" i="10" s="1"/>
  <c r="P30" i="18"/>
  <c r="Z26" i="18"/>
  <c r="Z30" i="18"/>
  <c r="Y26" i="18"/>
  <c r="P48" i="18"/>
  <c r="Q30" i="18"/>
  <c r="Z48" i="18"/>
  <c r="T12" i="10"/>
  <c r="AK51" i="10"/>
  <c r="Q51" i="10"/>
  <c r="T3" i="10"/>
  <c r="U3" i="10"/>
  <c r="Q52" i="10"/>
  <c r="Q51" i="18"/>
  <c r="P14" i="18"/>
  <c r="AE33" i="10"/>
  <c r="AF33" i="10" s="1"/>
  <c r="Z14" i="18"/>
  <c r="X36" i="18"/>
  <c r="P36" i="18"/>
  <c r="Y47" i="18"/>
  <c r="Y51" i="18"/>
  <c r="Y57" i="18"/>
  <c r="Q57" i="18"/>
  <c r="Z36" i="18"/>
  <c r="X14" i="18"/>
  <c r="Y36" i="18"/>
  <c r="Y14" i="18"/>
  <c r="Z91" i="18"/>
  <c r="R124" i="18"/>
  <c r="Z37" i="18"/>
  <c r="R9" i="18"/>
  <c r="Z19" i="18"/>
  <c r="R19" i="18"/>
  <c r="R39" i="18"/>
  <c r="Z39" i="18"/>
  <c r="R99" i="18"/>
  <c r="Z99" i="18"/>
  <c r="R111" i="18"/>
  <c r="Z111" i="18"/>
  <c r="Z57" i="18"/>
  <c r="R57" i="18"/>
  <c r="Z46" i="18"/>
  <c r="R46" i="18"/>
  <c r="AA6" i="18" l="1"/>
  <c r="AB6" i="18" s="1"/>
  <c r="S127" i="18"/>
  <c r="AA127" i="18" s="1"/>
  <c r="AB127" i="18" s="1"/>
  <c r="AA32" i="18"/>
  <c r="AB32" i="18" s="1"/>
  <c r="AA17" i="18"/>
  <c r="AB17" i="18" s="1"/>
  <c r="AA27" i="18"/>
  <c r="AA18" i="18"/>
  <c r="AB18" i="18" s="1"/>
  <c r="AA43" i="18"/>
  <c r="AB43" i="18" s="1"/>
  <c r="AA35" i="18"/>
  <c r="AB35" i="18" s="1"/>
  <c r="AA87" i="18"/>
  <c r="AB87" i="18" s="1"/>
  <c r="AA2" i="18"/>
  <c r="AA83" i="18"/>
  <c r="AB83" i="18" s="1"/>
  <c r="AA41" i="18"/>
  <c r="AB41" i="18" s="1"/>
  <c r="AA60" i="18"/>
  <c r="AB60" i="18" s="1"/>
  <c r="AA28" i="18"/>
  <c r="AB28" i="18" s="1"/>
  <c r="AA7" i="18"/>
  <c r="AB7" i="18" s="1"/>
  <c r="AA54" i="18"/>
  <c r="AB54" i="18" s="1"/>
  <c r="AA12" i="18"/>
  <c r="AB12" i="18" s="1"/>
  <c r="Z4" i="18"/>
  <c r="AA4" i="18" s="1"/>
  <c r="AB4" i="18" s="1"/>
  <c r="AA25" i="18"/>
  <c r="AB25" i="18" s="1"/>
  <c r="AA58" i="18"/>
  <c r="AB58" i="18" s="1"/>
  <c r="AA70" i="18"/>
  <c r="AB70" i="18" s="1"/>
  <c r="AA29" i="18"/>
  <c r="AB29" i="18" s="1"/>
  <c r="AA62" i="18"/>
  <c r="AB62" i="18" s="1"/>
  <c r="AA20" i="18"/>
  <c r="AB20" i="18" s="1"/>
  <c r="AA11" i="18"/>
  <c r="AB11" i="18" s="1"/>
  <c r="AA45" i="18"/>
  <c r="AB45" i="18" s="1"/>
  <c r="AA85" i="18"/>
  <c r="AB85" i="18" s="1"/>
  <c r="AA5" i="18"/>
  <c r="AB5" i="18" s="1"/>
  <c r="AA53" i="18"/>
  <c r="AB53" i="18" s="1"/>
  <c r="AA9" i="18"/>
  <c r="AB9" i="18" s="1"/>
  <c r="AA63" i="18"/>
  <c r="AB63" i="18" s="1"/>
  <c r="AA149" i="18"/>
  <c r="AB149" i="18" s="1"/>
  <c r="AA34" i="18"/>
  <c r="AB34" i="18" s="1"/>
  <c r="AA94" i="18"/>
  <c r="AH44" i="10" s="1"/>
  <c r="I44" i="10" s="1"/>
  <c r="L44" i="10" s="1"/>
  <c r="AA112" i="18"/>
  <c r="AB112" i="18" s="1"/>
  <c r="AA134" i="18"/>
  <c r="AB134" i="18" s="1"/>
  <c r="AA81" i="18"/>
  <c r="AB81" i="18" s="1"/>
  <c r="AA59" i="18"/>
  <c r="AB59" i="18" s="1"/>
  <c r="AA65" i="18"/>
  <c r="AB65" i="18" s="1"/>
  <c r="AA123" i="18"/>
  <c r="AB123" i="18" s="1"/>
  <c r="R109" i="18"/>
  <c r="AA109" i="18" s="1"/>
  <c r="AB109" i="18" s="1"/>
  <c r="AA137" i="18"/>
  <c r="AB137" i="18" s="1"/>
  <c r="AA125" i="18"/>
  <c r="AB125" i="18" s="1"/>
  <c r="AA24" i="18"/>
  <c r="AB24" i="18" s="1"/>
  <c r="AA126" i="18"/>
  <c r="AB126" i="18" s="1"/>
  <c r="AA55" i="18"/>
  <c r="AB55" i="18" s="1"/>
  <c r="AA23" i="18"/>
  <c r="AB23" i="18" s="1"/>
  <c r="AA37" i="18"/>
  <c r="AB37" i="18" s="1"/>
  <c r="AA100" i="18"/>
  <c r="AB100" i="18" s="1"/>
  <c r="S128" i="18"/>
  <c r="AA128" i="18" s="1"/>
  <c r="AB128" i="18" s="1"/>
  <c r="AA42" i="18"/>
  <c r="AB42" i="18" s="1"/>
  <c r="AA52" i="18"/>
  <c r="AB52" i="18" s="1"/>
  <c r="AA96" i="18"/>
  <c r="AB96" i="18" s="1"/>
  <c r="AA79" i="18"/>
  <c r="AB79" i="18" s="1"/>
  <c r="AA129" i="18"/>
  <c r="AB129" i="18" s="1"/>
  <c r="AA103" i="18"/>
  <c r="AB103" i="18" s="1"/>
  <c r="AA76" i="18"/>
  <c r="AB76" i="18" s="1"/>
  <c r="AA133" i="18"/>
  <c r="AB133" i="18" s="1"/>
  <c r="AA80" i="18"/>
  <c r="AB80" i="18" s="1"/>
  <c r="AA74" i="18"/>
  <c r="AB74" i="18" s="1"/>
  <c r="AA31" i="18"/>
  <c r="AB31" i="18" s="1"/>
  <c r="AA113" i="18"/>
  <c r="AB113" i="18" s="1"/>
  <c r="AA136" i="18"/>
  <c r="AB136" i="18" s="1"/>
  <c r="AA135" i="18"/>
  <c r="AB135" i="18" s="1"/>
  <c r="AA82" i="18"/>
  <c r="AB82" i="18" s="1"/>
  <c r="AA98" i="18"/>
  <c r="AB98" i="18" s="1"/>
  <c r="AA119" i="18"/>
  <c r="AB119" i="18" s="1"/>
  <c r="AA21" i="18"/>
  <c r="AB21" i="18" s="1"/>
  <c r="AA44" i="18"/>
  <c r="AB44" i="18" s="1"/>
  <c r="AA90" i="18"/>
  <c r="AB90" i="18" s="1"/>
  <c r="AA78" i="18"/>
  <c r="AB78" i="18" s="1"/>
  <c r="AA117" i="18"/>
  <c r="AB117" i="18" s="1"/>
  <c r="AA75" i="18"/>
  <c r="AB75" i="18" s="1"/>
  <c r="AA69" i="18"/>
  <c r="AB69" i="18" s="1"/>
  <c r="AA3" i="18"/>
  <c r="AB3" i="18" s="1"/>
  <c r="AA77" i="18"/>
  <c r="AB77" i="18" s="1"/>
  <c r="AA118" i="18"/>
  <c r="AB118" i="18" s="1"/>
  <c r="AA93" i="18"/>
  <c r="AB93" i="18" s="1"/>
  <c r="AA22" i="18"/>
  <c r="AB22" i="18" s="1"/>
  <c r="AA71" i="18"/>
  <c r="AB71" i="18" s="1"/>
  <c r="AA106" i="18"/>
  <c r="AB106" i="18" s="1"/>
  <c r="AA88" i="18"/>
  <c r="AB88" i="18" s="1"/>
  <c r="AA84" i="18"/>
  <c r="AB84" i="18" s="1"/>
  <c r="AA38" i="18"/>
  <c r="AB38" i="18" s="1"/>
  <c r="AA114" i="18"/>
  <c r="AB114" i="18" s="1"/>
  <c r="AA131" i="18"/>
  <c r="AB131" i="18" s="1"/>
  <c r="AA86" i="18"/>
  <c r="AB86" i="18" s="1"/>
  <c r="AA150" i="18"/>
  <c r="AB150" i="18" s="1"/>
  <c r="AA97" i="18"/>
  <c r="AB97" i="18" s="1"/>
  <c r="AA132" i="18"/>
  <c r="AB132" i="18" s="1"/>
  <c r="AA122" i="18"/>
  <c r="AB122" i="18" s="1"/>
  <c r="AA102" i="18"/>
  <c r="AB102" i="18" s="1"/>
  <c r="AA120" i="18"/>
  <c r="AB120" i="18" s="1"/>
  <c r="AA105" i="18"/>
  <c r="AB105" i="18" s="1"/>
  <c r="AA130" i="18"/>
  <c r="AB130" i="18" s="1"/>
  <c r="AA47" i="18"/>
  <c r="AB47" i="18" s="1"/>
  <c r="AA89" i="18"/>
  <c r="AB89" i="18" s="1"/>
  <c r="AA139" i="18"/>
  <c r="AB139" i="18" s="1"/>
  <c r="AA115" i="18"/>
  <c r="AB115" i="18" s="1"/>
  <c r="Z51" i="18"/>
  <c r="AA51" i="18" s="1"/>
  <c r="AB51" i="18" s="1"/>
  <c r="AA61" i="18"/>
  <c r="AB61" i="18" s="1"/>
  <c r="AA151" i="18"/>
  <c r="AB151" i="18" s="1"/>
  <c r="AA92" i="18"/>
  <c r="AB92" i="18" s="1"/>
  <c r="AA64" i="18"/>
  <c r="AB64" i="18" s="1"/>
  <c r="AA101" i="18"/>
  <c r="AB101" i="18" s="1"/>
  <c r="AA104" i="18"/>
  <c r="AB104" i="18" s="1"/>
  <c r="AA124" i="18"/>
  <c r="AB124" i="18" s="1"/>
  <c r="AA147" i="18"/>
  <c r="AB147" i="18" s="1"/>
  <c r="AA148" i="18"/>
  <c r="AB148" i="18" s="1"/>
  <c r="AA138" i="18"/>
  <c r="AB138" i="18" s="1"/>
  <c r="AA73" i="18"/>
  <c r="AB73" i="18" s="1"/>
  <c r="AA142" i="18"/>
  <c r="AB142" i="18" s="1"/>
  <c r="AA116" i="18"/>
  <c r="AB116" i="18" s="1"/>
  <c r="AA56" i="18"/>
  <c r="AB56" i="18" s="1"/>
  <c r="AA152" i="18"/>
  <c r="AB152" i="18" s="1"/>
  <c r="AA121" i="18"/>
  <c r="AB121" i="18" s="1"/>
  <c r="AA72" i="18"/>
  <c r="AB72" i="18" s="1"/>
  <c r="AA145" i="18"/>
  <c r="AB145" i="18" s="1"/>
  <c r="AA143" i="18"/>
  <c r="AB143" i="18" s="1"/>
  <c r="AA141" i="18"/>
  <c r="AB141" i="18" s="1"/>
  <c r="AA50" i="18"/>
  <c r="AB50" i="18" s="1"/>
  <c r="AA16" i="18"/>
  <c r="AB16" i="18" s="1"/>
  <c r="AA144" i="18"/>
  <c r="AB144" i="18" s="1"/>
  <c r="AA107" i="18"/>
  <c r="AB107" i="18" s="1"/>
  <c r="AA95" i="18"/>
  <c r="AB95" i="18" s="1"/>
  <c r="Z108" i="18"/>
  <c r="AA108" i="18" s="1"/>
  <c r="AB108" i="18" s="1"/>
  <c r="AA67" i="18"/>
  <c r="AB67" i="18" s="1"/>
  <c r="AA10" i="18"/>
  <c r="AB10" i="18" s="1"/>
  <c r="AA66" i="18"/>
  <c r="AB66" i="18" s="1"/>
  <c r="AA91" i="18"/>
  <c r="AB91" i="18" s="1"/>
  <c r="AA40" i="18"/>
  <c r="AB40" i="18" s="1"/>
  <c r="AA110" i="18"/>
  <c r="AH7" i="10" s="1"/>
  <c r="I7" i="10" s="1"/>
  <c r="L7" i="10" s="1"/>
  <c r="AA33" i="18"/>
  <c r="AB33" i="18" s="1"/>
  <c r="AA140" i="18"/>
  <c r="AB140" i="18" s="1"/>
  <c r="AA15" i="18"/>
  <c r="AB15" i="18" s="1"/>
  <c r="AA146" i="18"/>
  <c r="AB146" i="18" s="1"/>
  <c r="AA49" i="18"/>
  <c r="AB49" i="18" s="1"/>
  <c r="AA8" i="18"/>
  <c r="AB8" i="18" s="1"/>
  <c r="AA13" i="18"/>
  <c r="AB13" i="18" s="1"/>
  <c r="AA48" i="18"/>
  <c r="AB48" i="18" s="1"/>
  <c r="AA26" i="18"/>
  <c r="AB26" i="18" s="1"/>
  <c r="AA30" i="18"/>
  <c r="AB30" i="18" s="1"/>
  <c r="AA68" i="18"/>
  <c r="AB68" i="18" s="1"/>
  <c r="AA14" i="18"/>
  <c r="AB14" i="18" s="1"/>
  <c r="AA36" i="18"/>
  <c r="AB36" i="18" s="1"/>
  <c r="AA39" i="18"/>
  <c r="AA111" i="18"/>
  <c r="AB111" i="18" s="1"/>
  <c r="AA99" i="18"/>
  <c r="AB99" i="18" s="1"/>
  <c r="AA46" i="18"/>
  <c r="AB46" i="18" s="1"/>
  <c r="AA57" i="18"/>
  <c r="AA19" i="18"/>
  <c r="AB2" i="18" l="1"/>
  <c r="AB27" i="18"/>
  <c r="AH30" i="10"/>
  <c r="AL30" i="10" s="1"/>
  <c r="V30" i="10" s="1"/>
  <c r="Y30" i="10" s="1"/>
  <c r="AH36" i="10"/>
  <c r="AL36" i="10" s="1"/>
  <c r="V36" i="10" s="1"/>
  <c r="AH41" i="10"/>
  <c r="AL41" i="10" s="1"/>
  <c r="V41" i="10" s="1"/>
  <c r="Z41" i="10" s="1"/>
  <c r="AH26" i="10"/>
  <c r="I26" i="10" s="1"/>
  <c r="L26" i="10" s="1"/>
  <c r="AB94" i="18"/>
  <c r="AH23" i="10"/>
  <c r="AL23" i="10" s="1"/>
  <c r="V23" i="10" s="1"/>
  <c r="AL44" i="10"/>
  <c r="V44" i="10" s="1"/>
  <c r="AH33" i="10"/>
  <c r="I33" i="10" s="1"/>
  <c r="L33" i="10" s="1"/>
  <c r="AH34" i="10"/>
  <c r="I34" i="10" s="1"/>
  <c r="L34" i="10" s="1"/>
  <c r="O34" i="10" s="1"/>
  <c r="AH12" i="10"/>
  <c r="AL12" i="10" s="1"/>
  <c r="V12" i="10" s="1"/>
  <c r="AH40" i="10"/>
  <c r="I40" i="10" s="1"/>
  <c r="L40" i="10" s="1"/>
  <c r="O40" i="10" s="1"/>
  <c r="AH22" i="10"/>
  <c r="I22" i="10" s="1"/>
  <c r="L22" i="10" s="1"/>
  <c r="P22" i="10" s="1"/>
  <c r="AH42" i="10"/>
  <c r="AL42" i="10" s="1"/>
  <c r="V42" i="10" s="1"/>
  <c r="Y42" i="10" s="1"/>
  <c r="AL7" i="10"/>
  <c r="V7" i="10" s="1"/>
  <c r="AH24" i="10"/>
  <c r="AL24" i="10" s="1"/>
  <c r="V24" i="10" s="1"/>
  <c r="AH20" i="10"/>
  <c r="I20" i="10" s="1"/>
  <c r="L20" i="10" s="1"/>
  <c r="AH47" i="10"/>
  <c r="AL47" i="10" s="1"/>
  <c r="V47" i="10" s="1"/>
  <c r="AH8" i="10"/>
  <c r="AL8" i="10" s="1"/>
  <c r="V8" i="10" s="1"/>
  <c r="Y8" i="10" s="1"/>
  <c r="AH10" i="10"/>
  <c r="AL10" i="10" s="1"/>
  <c r="V10" i="10" s="1"/>
  <c r="Y10" i="10" s="1"/>
  <c r="AH39" i="10"/>
  <c r="AL39" i="10" s="1"/>
  <c r="V39" i="10" s="1"/>
  <c r="AH31" i="10"/>
  <c r="I31" i="10" s="1"/>
  <c r="L31" i="10" s="1"/>
  <c r="AH11" i="10"/>
  <c r="I11" i="10" s="1"/>
  <c r="L11" i="10" s="1"/>
  <c r="AH27" i="10"/>
  <c r="AL27" i="10" s="1"/>
  <c r="V27" i="10" s="1"/>
  <c r="Y27" i="10" s="1"/>
  <c r="AH21" i="10"/>
  <c r="AL21" i="10" s="1"/>
  <c r="V21" i="10" s="1"/>
  <c r="AH45" i="10"/>
  <c r="AL45" i="10" s="1"/>
  <c r="V45" i="10" s="1"/>
  <c r="Z45" i="10" s="1"/>
  <c r="AH17" i="10"/>
  <c r="I17" i="10" s="1"/>
  <c r="L17" i="10" s="1"/>
  <c r="P17" i="10" s="1"/>
  <c r="AH19" i="10"/>
  <c r="I19" i="10" s="1"/>
  <c r="L19" i="10" s="1"/>
  <c r="AH32" i="10"/>
  <c r="I32" i="10" s="1"/>
  <c r="L32" i="10" s="1"/>
  <c r="AH37" i="10"/>
  <c r="AL37" i="10" s="1"/>
  <c r="V37" i="10" s="1"/>
  <c r="Y37" i="10" s="1"/>
  <c r="AH25" i="10"/>
  <c r="I25" i="10" s="1"/>
  <c r="L25" i="10" s="1"/>
  <c r="O25" i="10" s="1"/>
  <c r="AH38" i="10"/>
  <c r="I38" i="10" s="1"/>
  <c r="L38" i="10" s="1"/>
  <c r="AH28" i="10"/>
  <c r="I28" i="10" s="1"/>
  <c r="L28" i="10" s="1"/>
  <c r="AH14" i="10"/>
  <c r="I14" i="10" s="1"/>
  <c r="L14" i="10" s="1"/>
  <c r="O14" i="10" s="1"/>
  <c r="AH5" i="10"/>
  <c r="AL5" i="10" s="1"/>
  <c r="V5" i="10" s="1"/>
  <c r="Z5" i="10" s="1"/>
  <c r="AH4" i="10"/>
  <c r="I4" i="10" s="1"/>
  <c r="L4" i="10" s="1"/>
  <c r="O4" i="10" s="1"/>
  <c r="AH15" i="10"/>
  <c r="AL15" i="10" s="1"/>
  <c r="V15" i="10" s="1"/>
  <c r="AH18" i="10"/>
  <c r="AL18" i="10" s="1"/>
  <c r="V18" i="10" s="1"/>
  <c r="Z18" i="10" s="1"/>
  <c r="AH35" i="10"/>
  <c r="AL35" i="10" s="1"/>
  <c r="V35" i="10" s="1"/>
  <c r="AH16" i="10"/>
  <c r="I16" i="10" s="1"/>
  <c r="L16" i="10" s="1"/>
  <c r="O16" i="10" s="1"/>
  <c r="AH9" i="10"/>
  <c r="AL9" i="10" s="1"/>
  <c r="V9" i="10" s="1"/>
  <c r="AB110" i="18"/>
  <c r="AH29" i="10"/>
  <c r="I29" i="10" s="1"/>
  <c r="L29" i="10" s="1"/>
  <c r="AH6" i="10"/>
  <c r="AL6" i="10" s="1"/>
  <c r="V6" i="10" s="1"/>
  <c r="AH2" i="10"/>
  <c r="I2" i="10" s="1"/>
  <c r="L2" i="10" s="1"/>
  <c r="AH43" i="10"/>
  <c r="I43" i="10" s="1"/>
  <c r="L43" i="10" s="1"/>
  <c r="P43" i="10" s="1"/>
  <c r="AH3" i="10"/>
  <c r="AL3" i="10" s="1"/>
  <c r="V3" i="10" s="1"/>
  <c r="AB39" i="18"/>
  <c r="AH13" i="10"/>
  <c r="AH46" i="10"/>
  <c r="AL46" i="10" s="1"/>
  <c r="V46" i="10" s="1"/>
  <c r="AB57" i="18"/>
  <c r="AB19" i="18"/>
  <c r="I30" i="10" l="1"/>
  <c r="L30" i="10" s="1"/>
  <c r="O30" i="10" s="1"/>
  <c r="Z30" i="10"/>
  <c r="I36" i="10"/>
  <c r="L36" i="10" s="1"/>
  <c r="P36" i="10" s="1"/>
  <c r="Y41" i="10"/>
  <c r="P34" i="10"/>
  <c r="I41" i="10"/>
  <c r="L41" i="10" s="1"/>
  <c r="P41" i="10" s="1"/>
  <c r="AL33" i="10"/>
  <c r="V33" i="10" s="1"/>
  <c r="Z33" i="10" s="1"/>
  <c r="I24" i="10"/>
  <c r="L24" i="10" s="1"/>
  <c r="P24" i="10" s="1"/>
  <c r="AL26" i="10"/>
  <c r="V26" i="10" s="1"/>
  <c r="Z26" i="10" s="1"/>
  <c r="P40" i="10"/>
  <c r="AL40" i="10"/>
  <c r="V40" i="10" s="1"/>
  <c r="Z40" i="10" s="1"/>
  <c r="I23" i="10"/>
  <c r="L23" i="10" s="1"/>
  <c r="AL20" i="10"/>
  <c r="V20" i="10" s="1"/>
  <c r="Y20" i="10" s="1"/>
  <c r="P25" i="10"/>
  <c r="I12" i="10"/>
  <c r="L12" i="10" s="1"/>
  <c r="P12" i="10" s="1"/>
  <c r="AL34" i="10"/>
  <c r="V34" i="10" s="1"/>
  <c r="Z34" i="10" s="1"/>
  <c r="O22" i="10"/>
  <c r="AL22" i="10"/>
  <c r="V22" i="10" s="1"/>
  <c r="Z22" i="10" s="1"/>
  <c r="AL31" i="10"/>
  <c r="V31" i="10" s="1"/>
  <c r="Z31" i="10" s="1"/>
  <c r="Z42" i="10"/>
  <c r="I39" i="10"/>
  <c r="L39" i="10" s="1"/>
  <c r="P39" i="10" s="1"/>
  <c r="I42" i="10"/>
  <c r="L42" i="10" s="1"/>
  <c r="P42" i="10" s="1"/>
  <c r="I45" i="10"/>
  <c r="L45" i="10" s="1"/>
  <c r="O45" i="10" s="1"/>
  <c r="I47" i="10"/>
  <c r="L47" i="10" s="1"/>
  <c r="Z27" i="10"/>
  <c r="I27" i="10"/>
  <c r="L27" i="10" s="1"/>
  <c r="P27" i="10" s="1"/>
  <c r="AL38" i="10"/>
  <c r="V38" i="10" s="1"/>
  <c r="Y38" i="10" s="1"/>
  <c r="I21" i="10"/>
  <c r="L21" i="10" s="1"/>
  <c r="O21" i="10" s="1"/>
  <c r="I10" i="10"/>
  <c r="L10" i="10" s="1"/>
  <c r="O10" i="10" s="1"/>
  <c r="Z8" i="10"/>
  <c r="I8" i="10"/>
  <c r="L8" i="10" s="1"/>
  <c r="O8" i="10" s="1"/>
  <c r="Y45" i="10"/>
  <c r="Z10" i="10"/>
  <c r="O17" i="10"/>
  <c r="AL11" i="10"/>
  <c r="V11" i="10" s="1"/>
  <c r="Y11" i="10" s="1"/>
  <c r="AL32" i="10"/>
  <c r="V32" i="10" s="1"/>
  <c r="AL25" i="10"/>
  <c r="V25" i="10" s="1"/>
  <c r="Z25" i="10" s="1"/>
  <c r="I15" i="10"/>
  <c r="L15" i="10" s="1"/>
  <c r="AL19" i="10"/>
  <c r="V19" i="10" s="1"/>
  <c r="Z19" i="10" s="1"/>
  <c r="AL17" i="10"/>
  <c r="V17" i="10" s="1"/>
  <c r="Y17" i="10" s="1"/>
  <c r="AL28" i="10"/>
  <c r="V28" i="10" s="1"/>
  <c r="Z28" i="10" s="1"/>
  <c r="P16" i="10"/>
  <c r="P4" i="10"/>
  <c r="AL4" i="10"/>
  <c r="V4" i="10" s="1"/>
  <c r="Z4" i="10" s="1"/>
  <c r="I35" i="10"/>
  <c r="L35" i="10" s="1"/>
  <c r="P35" i="10" s="1"/>
  <c r="AL14" i="10"/>
  <c r="V14" i="10" s="1"/>
  <c r="Y14" i="10" s="1"/>
  <c r="I37" i="10"/>
  <c r="L37" i="10" s="1"/>
  <c r="P37" i="10" s="1"/>
  <c r="Z37" i="10"/>
  <c r="I5" i="10"/>
  <c r="L5" i="10" s="1"/>
  <c r="P5" i="10" s="1"/>
  <c r="P14" i="10"/>
  <c r="AL16" i="10"/>
  <c r="V16" i="10" s="1"/>
  <c r="Y16" i="10" s="1"/>
  <c r="Y5" i="10"/>
  <c r="Y18" i="10"/>
  <c r="I18" i="10"/>
  <c r="L18" i="10" s="1"/>
  <c r="I9" i="10"/>
  <c r="L9" i="10" s="1"/>
  <c r="P9" i="10" s="1"/>
  <c r="AL29" i="10"/>
  <c r="V29" i="10" s="1"/>
  <c r="Y29" i="10" s="1"/>
  <c r="I6" i="10"/>
  <c r="L6" i="10" s="1"/>
  <c r="O6" i="10" s="1"/>
  <c r="AL2" i="10"/>
  <c r="V2" i="10" s="1"/>
  <c r="Y2" i="10" s="1"/>
  <c r="AH52" i="10"/>
  <c r="AL43" i="10"/>
  <c r="V43" i="10" s="1"/>
  <c r="Z43" i="10" s="1"/>
  <c r="O43" i="10"/>
  <c r="I3" i="10"/>
  <c r="L3" i="10" s="1"/>
  <c r="O3" i="10" s="1"/>
  <c r="I46" i="10"/>
  <c r="L46" i="10" s="1"/>
  <c r="P46" i="10" s="1"/>
  <c r="Y6" i="10"/>
  <c r="Z6" i="10"/>
  <c r="P11" i="10"/>
  <c r="O11" i="10"/>
  <c r="Y21" i="10"/>
  <c r="Z21" i="10"/>
  <c r="AH51" i="10"/>
  <c r="I13" i="10"/>
  <c r="L13" i="10" s="1"/>
  <c r="AL13" i="10"/>
  <c r="V13" i="10" s="1"/>
  <c r="P38" i="10"/>
  <c r="O38" i="10"/>
  <c r="Z9" i="10"/>
  <c r="Y9" i="10"/>
  <c r="Z24" i="10"/>
  <c r="Y24" i="10"/>
  <c r="Y39" i="10"/>
  <c r="Z39" i="10"/>
  <c r="P31" i="10"/>
  <c r="O31" i="10"/>
  <c r="Y35" i="10"/>
  <c r="Z35" i="10"/>
  <c r="Z36" i="10"/>
  <c r="Y36" i="10"/>
  <c r="O20" i="10"/>
  <c r="P20" i="10"/>
  <c r="O19" i="10"/>
  <c r="P19" i="10"/>
  <c r="O29" i="10"/>
  <c r="P29" i="10"/>
  <c r="Y3" i="10"/>
  <c r="Z3" i="10"/>
  <c r="P33" i="10"/>
  <c r="O33" i="10"/>
  <c r="P28" i="10"/>
  <c r="O28" i="10"/>
  <c r="P26" i="10"/>
  <c r="O26" i="10"/>
  <c r="O2" i="10"/>
  <c r="P2" i="10"/>
  <c r="Y12" i="10"/>
  <c r="Z12" i="10"/>
  <c r="Y46" i="10"/>
  <c r="Z46" i="10"/>
  <c r="P30" i="10" l="1"/>
  <c r="Y33" i="10"/>
  <c r="O36" i="10"/>
  <c r="O24" i="10"/>
  <c r="Y40" i="10"/>
  <c r="O41" i="10"/>
  <c r="Y26" i="10"/>
  <c r="Z20" i="10"/>
  <c r="O12" i="10"/>
  <c r="Z11" i="10"/>
  <c r="Y34" i="10"/>
  <c r="Y31" i="10"/>
  <c r="Y22" i="10"/>
  <c r="O42" i="10"/>
  <c r="O39" i="10"/>
  <c r="Y28" i="10"/>
  <c r="P45" i="10"/>
  <c r="P21" i="10"/>
  <c r="Z38" i="10"/>
  <c r="O27" i="10"/>
  <c r="P10" i="10"/>
  <c r="P8" i="10"/>
  <c r="Y19" i="10"/>
  <c r="Z16" i="10"/>
  <c r="Y25" i="10"/>
  <c r="Z17" i="10"/>
  <c r="O37" i="10"/>
  <c r="Z14" i="10"/>
  <c r="O35" i="10"/>
  <c r="O5" i="10"/>
  <c r="Y4" i="10"/>
  <c r="O9" i="10"/>
  <c r="O18" i="10"/>
  <c r="P18" i="10"/>
  <c r="P6" i="10"/>
  <c r="Y43" i="10"/>
  <c r="V52" i="10"/>
  <c r="AA17" i="10" s="1"/>
  <c r="AC17" i="10" s="1"/>
  <c r="Z29" i="10"/>
  <c r="AL52" i="10"/>
  <c r="Z2" i="10"/>
  <c r="P3" i="10"/>
  <c r="L52" i="10"/>
  <c r="I52" i="10"/>
  <c r="I51" i="10"/>
  <c r="O46" i="10"/>
  <c r="V51" i="10"/>
  <c r="AB33" i="10" s="1"/>
  <c r="AD33" i="10" s="1"/>
  <c r="L51" i="10"/>
  <c r="AL51" i="10"/>
  <c r="Z13" i="10"/>
  <c r="Y13" i="10"/>
  <c r="P13" i="10"/>
  <c r="O13" i="10"/>
  <c r="AB17" i="10" l="1"/>
  <c r="AD17" i="10" s="1"/>
  <c r="AB4" i="10"/>
  <c r="AD4" i="10" s="1"/>
  <c r="AB3" i="10"/>
  <c r="AD3" i="10" s="1"/>
  <c r="AB43" i="10"/>
  <c r="AD43" i="10" s="1"/>
  <c r="AA43" i="10"/>
  <c r="AC43" i="10" s="1"/>
  <c r="AA3" i="10"/>
  <c r="AC3" i="10" s="1"/>
  <c r="AB35" i="10"/>
  <c r="AD35" i="10" s="1"/>
  <c r="AA4" i="10"/>
  <c r="AC4" i="10" s="1"/>
  <c r="AA35" i="10"/>
  <c r="AC35" i="10" s="1"/>
  <c r="L53" i="10"/>
  <c r="AB16" i="10"/>
  <c r="AD16" i="10" s="1"/>
  <c r="AA14" i="10"/>
  <c r="AC14" i="10" s="1"/>
  <c r="AA31" i="10"/>
  <c r="AC31" i="10" s="1"/>
  <c r="AA34" i="10"/>
  <c r="AC34" i="10" s="1"/>
  <c r="AA16" i="10"/>
  <c r="AC16" i="10" s="1"/>
  <c r="AA36" i="10"/>
  <c r="AC36" i="10" s="1"/>
  <c r="AA11" i="10"/>
  <c r="AC11" i="10" s="1"/>
  <c r="AA21" i="10"/>
  <c r="AC21" i="10" s="1"/>
  <c r="AA12" i="10"/>
  <c r="AC12" i="10" s="1"/>
  <c r="AB46" i="10"/>
  <c r="AD46" i="10" s="1"/>
  <c r="AB37" i="10"/>
  <c r="AD37" i="10" s="1"/>
  <c r="AB40" i="10"/>
  <c r="AD40" i="10" s="1"/>
  <c r="AB8" i="10"/>
  <c r="AD8" i="10" s="1"/>
  <c r="AB9" i="10"/>
  <c r="AD9" i="10" s="1"/>
  <c r="AA41" i="10"/>
  <c r="AC41" i="10" s="1"/>
  <c r="AB5" i="10"/>
  <c r="AD5" i="10" s="1"/>
  <c r="AA18" i="10"/>
  <c r="AC18" i="10" s="1"/>
  <c r="AB19" i="10"/>
  <c r="AD19" i="10" s="1"/>
  <c r="AB27" i="10"/>
  <c r="AD27" i="10" s="1"/>
  <c r="AA38" i="10"/>
  <c r="AC38" i="10" s="1"/>
  <c r="AB29" i="10"/>
  <c r="AD29" i="10" s="1"/>
  <c r="AB25" i="10"/>
  <c r="AD25" i="10" s="1"/>
  <c r="AA28" i="10"/>
  <c r="AC28" i="10" s="1"/>
  <c r="AA26" i="10"/>
  <c r="AC26" i="10" s="1"/>
  <c r="AB11" i="10"/>
  <c r="AD11" i="10" s="1"/>
  <c r="AB18" i="10"/>
  <c r="AD18" i="10" s="1"/>
  <c r="AA6" i="10"/>
  <c r="AC6" i="10" s="1"/>
  <c r="AA2" i="10"/>
  <c r="AC2" i="10" s="1"/>
  <c r="AB21" i="10"/>
  <c r="AD21" i="10" s="1"/>
  <c r="AA10" i="10"/>
  <c r="AC10" i="10" s="1"/>
  <c r="AB20" i="10"/>
  <c r="AD20" i="10" s="1"/>
  <c r="AB26" i="10"/>
  <c r="AD26" i="10" s="1"/>
  <c r="AB28" i="10"/>
  <c r="AD28" i="10" s="1"/>
  <c r="AB6" i="10"/>
  <c r="AD6" i="10" s="1"/>
  <c r="AA19" i="10"/>
  <c r="AC19" i="10" s="1"/>
  <c r="AA37" i="10"/>
  <c r="AC37" i="10" s="1"/>
  <c r="AA5" i="10"/>
  <c r="AC5" i="10" s="1"/>
  <c r="AA13" i="10"/>
  <c r="AC13" i="10" s="1"/>
  <c r="AA33" i="10"/>
  <c r="AC33" i="10" s="1"/>
  <c r="AA40" i="10"/>
  <c r="AC40" i="10" s="1"/>
  <c r="AA29" i="10"/>
  <c r="AC29" i="10" s="1"/>
  <c r="AB42" i="10"/>
  <c r="AD42" i="10" s="1"/>
  <c r="AA20" i="10"/>
  <c r="AC20" i="10" s="1"/>
  <c r="AA27" i="10"/>
  <c r="AC27" i="10" s="1"/>
  <c r="AA39" i="10"/>
  <c r="AC39" i="10" s="1"/>
  <c r="AB10" i="10"/>
  <c r="AD10" i="10" s="1"/>
  <c r="AA22" i="10"/>
  <c r="AC22" i="10" s="1"/>
  <c r="AB12" i="10"/>
  <c r="AD12" i="10" s="1"/>
  <c r="AB39" i="10"/>
  <c r="AD39" i="10" s="1"/>
  <c r="AB24" i="10"/>
  <c r="AD24" i="10" s="1"/>
  <c r="AA30" i="10"/>
  <c r="AC30" i="10" s="1"/>
  <c r="AB22" i="10"/>
  <c r="AD22" i="10" s="1"/>
  <c r="AA45" i="10"/>
  <c r="AC45" i="10" s="1"/>
  <c r="AB31" i="10"/>
  <c r="AD31" i="10" s="1"/>
  <c r="AA42" i="10"/>
  <c r="AC42" i="10" s="1"/>
  <c r="AB2" i="10"/>
  <c r="AD2" i="10" s="1"/>
  <c r="AB36" i="10"/>
  <c r="AD36" i="10" s="1"/>
  <c r="AA8" i="10"/>
  <c r="AC8" i="10" s="1"/>
  <c r="AA9" i="10"/>
  <c r="AC9" i="10" s="1"/>
  <c r="AA24" i="10"/>
  <c r="AC24" i="10" s="1"/>
  <c r="AB13" i="10"/>
  <c r="AD13" i="10" s="1"/>
  <c r="AB41" i="10"/>
  <c r="AD41" i="10" s="1"/>
  <c r="AB38" i="10"/>
  <c r="AD38" i="10" s="1"/>
  <c r="AB30" i="10"/>
  <c r="AD30" i="10" s="1"/>
  <c r="AB14" i="10"/>
  <c r="AD14" i="10" s="1"/>
  <c r="AB34" i="10"/>
  <c r="AD34" i="10" s="1"/>
  <c r="AA25" i="10"/>
  <c r="AC25" i="10" s="1"/>
  <c r="AA46" i="10"/>
  <c r="AC46" i="10" s="1"/>
  <c r="AB45" i="10"/>
  <c r="AD45" i="10" s="1"/>
  <c r="AA52" i="10" l="1"/>
  <c r="AB52" i="10"/>
  <c r="AA51" i="10"/>
  <c r="AB51" i="10"/>
</calcChain>
</file>

<file path=xl/comments1.xml><?xml version="1.0" encoding="utf-8"?>
<comments xmlns="http://schemas.openxmlformats.org/spreadsheetml/2006/main">
  <authors>
    <author>Carol Bell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Carol Bell:</t>
        </r>
        <r>
          <rPr>
            <sz val="9"/>
            <color indexed="81"/>
            <rFont val="Tahoma"/>
            <family val="2"/>
          </rPr>
          <t xml:space="preserve">
Included in column G</t>
        </r>
      </text>
    </comment>
  </commentList>
</comments>
</file>

<file path=xl/sharedStrings.xml><?xml version="1.0" encoding="utf-8"?>
<sst xmlns="http://schemas.openxmlformats.org/spreadsheetml/2006/main" count="2632" uniqueCount="821">
  <si>
    <t>Mode</t>
  </si>
  <si>
    <t>ECON3430</t>
  </si>
  <si>
    <t>ECON6500</t>
  </si>
  <si>
    <t>ECON7300</t>
  </si>
  <si>
    <t>TF</t>
  </si>
  <si>
    <t>TR</t>
  </si>
  <si>
    <t>BRACOUD</t>
  </si>
  <si>
    <t>DOMINGUEZ</t>
  </si>
  <si>
    <t>FARAVELLI</t>
  </si>
  <si>
    <t>FRIESEN</t>
  </si>
  <si>
    <t>GERLACH</t>
  </si>
  <si>
    <t>KALAYCI</t>
  </si>
  <si>
    <t>KLINE</t>
  </si>
  <si>
    <t>MAHADEVAN</t>
  </si>
  <si>
    <t>MAN</t>
  </si>
  <si>
    <t>MENEZES</t>
  </si>
  <si>
    <t>O'DONNELL</t>
  </si>
  <si>
    <t>QUIGGIN</t>
  </si>
  <si>
    <t>ARC-FF</t>
  </si>
  <si>
    <t>RAMBALDI</t>
  </si>
  <si>
    <t>SHERWOOD</t>
  </si>
  <si>
    <t>TANG</t>
  </si>
  <si>
    <t>ZELENYUK</t>
  </si>
  <si>
    <t>Managerial Economics</t>
  </si>
  <si>
    <t>ECON1310</t>
  </si>
  <si>
    <t>ECON3360</t>
  </si>
  <si>
    <t>ECON7360</t>
  </si>
  <si>
    <t>ECON2020</t>
  </si>
  <si>
    <t>ECON2200</t>
  </si>
  <si>
    <t>Management of Financial Institutions</t>
  </si>
  <si>
    <t>ECON7200</t>
  </si>
  <si>
    <t>Economics of Financial Markets</t>
  </si>
  <si>
    <t>ECON3210</t>
  </si>
  <si>
    <t>Benefit-Cost Analysis for Business</t>
  </si>
  <si>
    <t>ECON6010</t>
  </si>
  <si>
    <t>ECON8010</t>
  </si>
  <si>
    <t>Microeconomics A</t>
  </si>
  <si>
    <t>ECON6910</t>
  </si>
  <si>
    <t>ECON6920</t>
  </si>
  <si>
    <t>Honours Thesis</t>
  </si>
  <si>
    <t>ECON3020</t>
  </si>
  <si>
    <t>ECON7040</t>
  </si>
  <si>
    <t>Advanced Macroeconomics</t>
  </si>
  <si>
    <t>ECON3010</t>
  </si>
  <si>
    <t>Advanced Microeconomics</t>
  </si>
  <si>
    <t>ECON7520</t>
  </si>
  <si>
    <t>ECON3510</t>
  </si>
  <si>
    <t>International Trade Theory &amp; Policy</t>
  </si>
  <si>
    <t>ECON7830</t>
  </si>
  <si>
    <t>Health Economics and Policy</t>
  </si>
  <si>
    <t>ECON7002</t>
  </si>
  <si>
    <t>Economics for Commerce</t>
  </si>
  <si>
    <t>ECON7510</t>
  </si>
  <si>
    <t>Economic Development</t>
  </si>
  <si>
    <t>ECON1020</t>
  </si>
  <si>
    <t>Introductory Macroeconomics</t>
  </si>
  <si>
    <t>ECON1010</t>
  </si>
  <si>
    <t>Introductory Microeconomics</t>
  </si>
  <si>
    <t>ECON2060</t>
  </si>
  <si>
    <t>ECON7060</t>
  </si>
  <si>
    <t>Evolution of Economic Systems</t>
  </si>
  <si>
    <t>ECON2410</t>
  </si>
  <si>
    <t>Economics of Business Strategy</t>
  </si>
  <si>
    <t>ECON2030</t>
  </si>
  <si>
    <t>Microeconomic Policy</t>
  </si>
  <si>
    <t>ECON2460</t>
  </si>
  <si>
    <t>Health Economics</t>
  </si>
  <si>
    <t>ECON7030</t>
  </si>
  <si>
    <t>Microeconomic Analysis</t>
  </si>
  <si>
    <t>ECON6020</t>
  </si>
  <si>
    <t>ECON8020</t>
  </si>
  <si>
    <t>Macroeconomics A</t>
  </si>
  <si>
    <t>ECON1050</t>
  </si>
  <si>
    <t>Tools of Economic Analysis</t>
  </si>
  <si>
    <t>ECON7740</t>
  </si>
  <si>
    <t>ECON2040</t>
  </si>
  <si>
    <t>Macroeconomic Policy</t>
  </si>
  <si>
    <t>ECON7810</t>
  </si>
  <si>
    <t>ECON7460</t>
  </si>
  <si>
    <t>ECON2010</t>
  </si>
  <si>
    <t>ECON7560</t>
  </si>
  <si>
    <t>ECON7540</t>
  </si>
  <si>
    <t>ECON2540</t>
  </si>
  <si>
    <t>ECON2800</t>
  </si>
  <si>
    <t>ECON6040</t>
  </si>
  <si>
    <t>ECON8040</t>
  </si>
  <si>
    <t>Macroeconomics B</t>
  </si>
  <si>
    <t>ECON3440</t>
  </si>
  <si>
    <t>ECON7430</t>
  </si>
  <si>
    <t>ECON2560</t>
  </si>
  <si>
    <t>ECON3520</t>
  </si>
  <si>
    <t>ECON2320</t>
  </si>
  <si>
    <t>ECON7322</t>
  </si>
  <si>
    <t>ECON2300</t>
  </si>
  <si>
    <t>ECON7310</t>
  </si>
  <si>
    <t>Introductory Econometrics</t>
  </si>
  <si>
    <t>ECON6300</t>
  </si>
  <si>
    <t>Econometric Theory</t>
  </si>
  <si>
    <t>Thesis</t>
  </si>
  <si>
    <t>Masters Thesis</t>
  </si>
  <si>
    <t>ECON7530</t>
  </si>
  <si>
    <t>ECON7720</t>
  </si>
  <si>
    <t>Ecological &amp; Environmental Economics</t>
  </si>
  <si>
    <t>ECON3700</t>
  </si>
  <si>
    <t>Environmental Economics</t>
  </si>
  <si>
    <t>Business Economics</t>
  </si>
  <si>
    <t>ECON7012</t>
  </si>
  <si>
    <t>ECON6310</t>
  </si>
  <si>
    <t>Advanced Econometric Theory</t>
  </si>
  <si>
    <t>ECON3200</t>
  </si>
  <si>
    <t>Monetary Economics</t>
  </si>
  <si>
    <t>ECON6030</t>
  </si>
  <si>
    <t>ECON8030</t>
  </si>
  <si>
    <t>Microeconomics B</t>
  </si>
  <si>
    <t>ECON2050</t>
  </si>
  <si>
    <t>Mathematical Economics</t>
  </si>
  <si>
    <t>ECON7440</t>
  </si>
  <si>
    <t>Advisor</t>
  </si>
  <si>
    <t>Share</t>
  </si>
  <si>
    <t>FT</t>
  </si>
  <si>
    <t>ECON3450</t>
  </si>
  <si>
    <t>KIFLE</t>
  </si>
  <si>
    <t>PEYRACHE</t>
  </si>
  <si>
    <t>ECON3330</t>
  </si>
  <si>
    <t>ECON6700</t>
  </si>
  <si>
    <t>BELLOFATTO</t>
  </si>
  <si>
    <t>WIENEKE</t>
  </si>
  <si>
    <t>OYARZUN</t>
  </si>
  <si>
    <t>GANNON</t>
  </si>
  <si>
    <t>EISENSTAT</t>
  </si>
  <si>
    <t>KHALED</t>
  </si>
  <si>
    <t>MACKENZIE</t>
  </si>
  <si>
    <t>MEGALOKONOMOU</t>
  </si>
  <si>
    <t>MUELLER</t>
  </si>
  <si>
    <t>OUYANG</t>
  </si>
  <si>
    <t>MIRANDA-PINTO</t>
  </si>
  <si>
    <t>ROSE</t>
  </si>
  <si>
    <t>TAKAYAMA</t>
  </si>
  <si>
    <t>TANAKA</t>
  </si>
  <si>
    <t>UYANIK</t>
  </si>
  <si>
    <t>YUAN</t>
  </si>
  <si>
    <t>STRACHAN</t>
  </si>
  <si>
    <t>NAVARATNAM</t>
  </si>
  <si>
    <t>HUMPHREYS</t>
  </si>
  <si>
    <t>YEO</t>
  </si>
  <si>
    <t>ECON2070</t>
  </si>
  <si>
    <t>ECON7950</t>
  </si>
  <si>
    <t>ECON7001</t>
  </si>
  <si>
    <t>ECON8810</t>
  </si>
  <si>
    <t>ECON7150</t>
  </si>
  <si>
    <t>ECON7331</t>
  </si>
  <si>
    <t>ECON7021</t>
  </si>
  <si>
    <t>ECON8000</t>
  </si>
  <si>
    <t>ECON7321</t>
  </si>
  <si>
    <t>SMERDON</t>
  </si>
  <si>
    <t>ECON7070</t>
  </si>
  <si>
    <t>ECON8820</t>
  </si>
  <si>
    <t>ECON7930</t>
  </si>
  <si>
    <t>ECON7940</t>
  </si>
  <si>
    <t>ECON7760</t>
  </si>
  <si>
    <t>ECON6390</t>
  </si>
  <si>
    <t>ECON7390</t>
  </si>
  <si>
    <t>ECON7110</t>
  </si>
  <si>
    <t>ECON7000</t>
  </si>
  <si>
    <t>ECON8800</t>
  </si>
  <si>
    <t>ECON2011</t>
  </si>
  <si>
    <t>ECON6080</t>
  </si>
  <si>
    <t>ECON8080</t>
  </si>
  <si>
    <t>BREIG</t>
  </si>
  <si>
    <t>ECON3340</t>
  </si>
  <si>
    <t>ECON7341</t>
  </si>
  <si>
    <t>MEZZETTI</t>
  </si>
  <si>
    <t>ECON6380</t>
  </si>
  <si>
    <t>Economics of Globalisation and Development</t>
  </si>
  <si>
    <t>Labour Economics</t>
  </si>
  <si>
    <t>Causal Inference for Microeconometrics</t>
  </si>
  <si>
    <t>Economics of International Finance</t>
  </si>
  <si>
    <t>Computational Methods in Economics</t>
  </si>
  <si>
    <t>Advanced Microeconometrics</t>
  </si>
  <si>
    <t>Advanced Macroeconometrics</t>
  </si>
  <si>
    <t>Financial Econometrics</t>
  </si>
  <si>
    <t>Foundations in Microeconomics</t>
  </si>
  <si>
    <t>Foundations in Macroeconomics</t>
  </si>
  <si>
    <t>The Macroeconomy</t>
  </si>
  <si>
    <t>Macroeconomic Analysis</t>
  </si>
  <si>
    <t>Economic Analysis of Strategy</t>
  </si>
  <si>
    <t>Consumer and Firm Behaviour</t>
  </si>
  <si>
    <t>Elements of Econometrics</t>
  </si>
  <si>
    <t>International Macroeconomics and Finance</t>
  </si>
  <si>
    <t>International Trade and Investment</t>
  </si>
  <si>
    <t>The Economics of Climate Change</t>
  </si>
  <si>
    <t>Research Methods in Economics</t>
  </si>
  <si>
    <t>Advanced Studies in Economics 1</t>
  </si>
  <si>
    <t>Advanced Studies in Economics 2</t>
  </si>
  <si>
    <t>Advanced Studies in Econometrics</t>
  </si>
  <si>
    <t>OLH</t>
  </si>
  <si>
    <t>RLH</t>
  </si>
  <si>
    <t>OTH</t>
  </si>
  <si>
    <t>RTH</t>
  </si>
  <si>
    <t>Experimental Lab Manager</t>
  </si>
  <si>
    <t>Academic Integrity Officer</t>
  </si>
  <si>
    <t>TE VELDE</t>
  </si>
  <si>
    <t>TP4</t>
  </si>
  <si>
    <t>TP6</t>
  </si>
  <si>
    <t>UQ2U</t>
  </si>
  <si>
    <t>Course Code</t>
  </si>
  <si>
    <t>Course Title</t>
  </si>
  <si>
    <t>ECON1011</t>
  </si>
  <si>
    <t>Economics for Business</t>
  </si>
  <si>
    <t>ECON1200</t>
  </si>
  <si>
    <t>Money and Mind</t>
  </si>
  <si>
    <t>Quant Econ &amp; Bus Analysis A</t>
  </si>
  <si>
    <t>Principles of Microeconomics</t>
  </si>
  <si>
    <t>ECON2012</t>
  </si>
  <si>
    <t>Microeconomics for Business</t>
  </si>
  <si>
    <t>ECON2021</t>
  </si>
  <si>
    <t>Principles of Macroeconomics</t>
  </si>
  <si>
    <t>Stat Theory for Economists</t>
  </si>
  <si>
    <t>ECON3350</t>
  </si>
  <si>
    <t>ECON7350</t>
  </si>
  <si>
    <t>Team Project</t>
  </si>
  <si>
    <t>ECON7320</t>
  </si>
  <si>
    <t>ECON8300</t>
  </si>
  <si>
    <t>Globalisation &amp; Econ Dev</t>
  </si>
  <si>
    <t>ECON7931</t>
  </si>
  <si>
    <t>ECON7932</t>
  </si>
  <si>
    <t>ECON7941</t>
  </si>
  <si>
    <t>ECON7942</t>
  </si>
  <si>
    <t>Quantitative Skills for Economics</t>
  </si>
  <si>
    <t>PPES3101</t>
  </si>
  <si>
    <t>Politics, Philosophy, Economics 3</t>
  </si>
  <si>
    <t>PPES4101</t>
  </si>
  <si>
    <t>Politics, Philosophy, Economics 4</t>
  </si>
  <si>
    <t>ECON2022</t>
  </si>
  <si>
    <t>Macroeconomics for Business</t>
  </si>
  <si>
    <t>Bus &amp; Econ Decision Tech</t>
  </si>
  <si>
    <t>ECON2333</t>
  </si>
  <si>
    <t>ECON7333</t>
  </si>
  <si>
    <t>ECON2420</t>
  </si>
  <si>
    <t>ECON3820</t>
  </si>
  <si>
    <t>ECON7820</t>
  </si>
  <si>
    <t>Understanding China</t>
  </si>
  <si>
    <t>ECON4390</t>
  </si>
  <si>
    <t>ECON7380</t>
  </si>
  <si>
    <t>ECON8380</t>
  </si>
  <si>
    <t>Economic Evaluation &amp; Health</t>
  </si>
  <si>
    <t>PPES4201</t>
  </si>
  <si>
    <t>PPES4202</t>
  </si>
  <si>
    <t>PPE Honours Thesis</t>
  </si>
  <si>
    <t>PPES4999</t>
  </si>
  <si>
    <t>Professional Practicum</t>
  </si>
  <si>
    <t>Financial Markets and Institutions</t>
  </si>
  <si>
    <t>Y</t>
  </si>
  <si>
    <t>S1</t>
  </si>
  <si>
    <t>S2</t>
  </si>
  <si>
    <t>S3</t>
  </si>
  <si>
    <t>Co-badged Course 1</t>
  </si>
  <si>
    <t>Co-badged Course 2</t>
  </si>
  <si>
    <t>Teaching Period</t>
  </si>
  <si>
    <t>Staff Member</t>
  </si>
  <si>
    <t>Head of School</t>
  </si>
  <si>
    <t>Course Credit Officer</t>
  </si>
  <si>
    <t>Postgraduate Coordinator</t>
  </si>
  <si>
    <t>Chair of Tutor &amp; PASS selection panel</t>
  </si>
  <si>
    <t>CEPA Director</t>
  </si>
  <si>
    <t>Employability Officer</t>
  </si>
  <si>
    <t>Admissions and International Partnerships Advisor</t>
  </si>
  <si>
    <t>Project Advisor</t>
  </si>
  <si>
    <t>ZIZZO</t>
  </si>
  <si>
    <t>HERNANDEZ-CHANTO</t>
  </si>
  <si>
    <t>Program Leader - PPE</t>
  </si>
  <si>
    <t>Program Rep - BEng, BMath, BScience /Econ</t>
  </si>
  <si>
    <t>Executive Committee Rep - Level B</t>
  </si>
  <si>
    <t>Program Rep - BAFE, BInt Studies</t>
  </si>
  <si>
    <t>Seminar Coordinator - General</t>
  </si>
  <si>
    <t>Executive Committee Rep - Level C</t>
  </si>
  <si>
    <t>Executive Committee Rep - Level E</t>
  </si>
  <si>
    <t>Program Leader - M Econ</t>
  </si>
  <si>
    <t>No. of Weeks</t>
  </si>
  <si>
    <t>Role</t>
  </si>
  <si>
    <t>Intro to Strategic Thinking</t>
  </si>
  <si>
    <t>Big Data &amp; Machine Learning for Econ &amp; Finance</t>
  </si>
  <si>
    <t>The Macroeconomy &amp; Bus Conditions</t>
  </si>
  <si>
    <t>Economics of Innovation &amp; Entrepreneurship</t>
  </si>
  <si>
    <t>Applied Econometrics for Macro &amp; Finance</t>
  </si>
  <si>
    <t>Competition Policy &amp; Regulation</t>
  </si>
  <si>
    <t>Mathematical Techniques Economics</t>
  </si>
  <si>
    <t>TWB</t>
  </si>
  <si>
    <t>PWH</t>
  </si>
  <si>
    <t>= PWH/172.5</t>
  </si>
  <si>
    <t>WA</t>
  </si>
  <si>
    <t>WA = Weeks Available</t>
  </si>
  <si>
    <t>RF</t>
  </si>
  <si>
    <t>AT</t>
  </si>
  <si>
    <t>KARAKOSTAS</t>
  </si>
  <si>
    <t>KIM D-H</t>
  </si>
  <si>
    <t>AA</t>
  </si>
  <si>
    <t>PE</t>
  </si>
  <si>
    <t>CC</t>
  </si>
  <si>
    <t>TC</t>
  </si>
  <si>
    <t>TM</t>
  </si>
  <si>
    <t>SWB</t>
  </si>
  <si>
    <t>SWH</t>
  </si>
  <si>
    <t>SWH = Service Workload Measured in Hours
(Formula)</t>
  </si>
  <si>
    <t>SWB = Service Workload Measured in Blocks
(Formula)</t>
  </si>
  <si>
    <t>Director of Education</t>
  </si>
  <si>
    <t>Director of Research</t>
  </si>
  <si>
    <t>Weights</t>
  </si>
  <si>
    <t>AA = Admin 
Assistance</t>
  </si>
  <si>
    <t>Course
 ID
(Formula)</t>
  </si>
  <si>
    <t>TC = Tutorial Coordinator</t>
  </si>
  <si>
    <t>wCCH1</t>
  </si>
  <si>
    <t>0.135</t>
  </si>
  <si>
    <t>0.045</t>
  </si>
  <si>
    <t>wCCH2</t>
  </si>
  <si>
    <t>1</t>
  </si>
  <si>
    <t>LPH</t>
  </si>
  <si>
    <t>TPH</t>
  </si>
  <si>
    <t>FT = First Time Taught</t>
  </si>
  <si>
    <t>wRLH</t>
  </si>
  <si>
    <t>= SWB*172.5</t>
  </si>
  <si>
    <t>Co-badged Course 1
(Formula)</t>
  </si>
  <si>
    <t>Co-badged Course 2
(Formula)</t>
  </si>
  <si>
    <t>Course Title
(Formula)</t>
  </si>
  <si>
    <t>CC = Course 
Co-ordinator</t>
  </si>
  <si>
    <r>
      <rPr>
        <sz val="11"/>
        <color rgb="FFFF0000"/>
        <rFont val="Calibri (Body)_x0000_"/>
      </rPr>
      <t>P</t>
    </r>
    <r>
      <rPr>
        <sz val="11"/>
        <color theme="1"/>
        <rFont val="Calibri"/>
        <family val="2"/>
        <scheme val="minor"/>
      </rPr>
      <t xml:space="preserve">redicted </t>
    </r>
    <r>
      <rPr>
        <sz val="11"/>
        <color rgb="FFFF0000"/>
        <rFont val="Calibri (Body)_x0000_"/>
      </rPr>
      <t>E</t>
    </r>
    <r>
      <rPr>
        <sz val="11"/>
        <color theme="1"/>
        <rFont val="Calibri"/>
        <family val="2"/>
        <scheme val="minor"/>
      </rPr>
      <t>nrolments</t>
    </r>
  </si>
  <si>
    <r>
      <rPr>
        <sz val="11"/>
        <color rgb="FFFF0000"/>
        <rFont val="Calibri (Body)_x0000_"/>
      </rPr>
      <t>O</t>
    </r>
    <r>
      <rPr>
        <sz val="11"/>
        <color theme="1"/>
        <rFont val="Calibri"/>
        <family val="2"/>
        <scheme val="minor"/>
      </rPr>
      <t xml:space="preserve">riginal </t>
    </r>
    <r>
      <rPr>
        <sz val="11"/>
        <color rgb="FFFF0000"/>
        <rFont val="Calibri (Body)_x0000_"/>
      </rPr>
      <t>L</t>
    </r>
    <r>
      <rPr>
        <sz val="11"/>
        <color theme="1"/>
        <rFont val="Calibri"/>
        <family val="2"/>
        <scheme val="minor"/>
      </rPr>
      <t xml:space="preserve">ecture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 delivered</t>
    </r>
  </si>
  <si>
    <r>
      <rPr>
        <sz val="11"/>
        <color rgb="FFFF0000"/>
        <rFont val="Calibri (Body)_x0000_"/>
      </rPr>
      <t>R</t>
    </r>
    <r>
      <rPr>
        <sz val="11"/>
        <color theme="1"/>
        <rFont val="Calibri"/>
        <family val="2"/>
        <scheme val="minor"/>
      </rPr>
      <t xml:space="preserve">epeat </t>
    </r>
    <r>
      <rPr>
        <sz val="11"/>
        <color rgb="FFFF0000"/>
        <rFont val="Calibri (Body)_x0000_"/>
      </rPr>
      <t>L</t>
    </r>
    <r>
      <rPr>
        <sz val="11"/>
        <color theme="1"/>
        <rFont val="Calibri"/>
        <family val="2"/>
        <scheme val="minor"/>
      </rPr>
      <t xml:space="preserve">ecture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 delivered</t>
    </r>
  </si>
  <si>
    <r>
      <rPr>
        <sz val="11"/>
        <color rgb="FFFF0000"/>
        <rFont val="Calibri (Body)_x0000_"/>
      </rPr>
      <t>O</t>
    </r>
    <r>
      <rPr>
        <sz val="11"/>
        <color theme="1"/>
        <rFont val="Calibri"/>
        <family val="2"/>
        <scheme val="minor"/>
      </rPr>
      <t xml:space="preserve">riginal </t>
    </r>
    <r>
      <rPr>
        <sz val="11"/>
        <color rgb="FFFF0000"/>
        <rFont val="Calibri (Body)_x0000_"/>
      </rPr>
      <t>T</t>
    </r>
    <r>
      <rPr>
        <sz val="11"/>
        <color theme="1"/>
        <rFont val="Calibri"/>
        <family val="2"/>
        <scheme val="minor"/>
      </rPr>
      <t xml:space="preserve">utorial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 delivered</t>
    </r>
  </si>
  <si>
    <r>
      <rPr>
        <sz val="11"/>
        <color rgb="FFFF0000"/>
        <rFont val="Calibri (Body)_x0000_"/>
      </rPr>
      <t>R</t>
    </r>
    <r>
      <rPr>
        <sz val="11"/>
        <color theme="1"/>
        <rFont val="Calibri"/>
        <family val="2"/>
        <scheme val="minor"/>
      </rPr>
      <t xml:space="preserve">epeat </t>
    </r>
    <r>
      <rPr>
        <sz val="11"/>
        <color rgb="FFFF0000"/>
        <rFont val="Calibri (Body)_x0000_"/>
      </rPr>
      <t>T</t>
    </r>
    <r>
      <rPr>
        <sz val="11"/>
        <color theme="1"/>
        <rFont val="Calibri"/>
        <family val="2"/>
        <scheme val="minor"/>
      </rPr>
      <t xml:space="preserve">utorial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 delivered</t>
    </r>
  </si>
  <si>
    <r>
      <rPr>
        <sz val="11"/>
        <color rgb="FFFF0000"/>
        <rFont val="Calibri (Body)_x0000_"/>
      </rPr>
      <t>L</t>
    </r>
    <r>
      <rPr>
        <sz val="11"/>
        <color theme="1"/>
        <rFont val="Calibri"/>
        <family val="2"/>
        <scheme val="minor"/>
      </rPr>
      <t xml:space="preserve">ecture </t>
    </r>
    <r>
      <rPr>
        <sz val="11"/>
        <color rgb="FFFF0000"/>
        <rFont val="Calibri (Body)_x0000_"/>
      </rPr>
      <t>P</t>
    </r>
    <r>
      <rPr>
        <sz val="11"/>
        <color theme="1"/>
        <rFont val="Calibri"/>
        <family val="2"/>
        <scheme val="minor"/>
      </rPr>
      <t xml:space="preserve">reparation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</t>
    </r>
  </si>
  <si>
    <r>
      <rPr>
        <sz val="11"/>
        <color rgb="FFFF0000"/>
        <rFont val="Calibri (Body)_x0000_"/>
      </rPr>
      <t>T</t>
    </r>
    <r>
      <rPr>
        <sz val="11"/>
        <color theme="1"/>
        <rFont val="Calibri (Body)_x0000_"/>
      </rPr>
      <t>utorial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_x0000_"/>
      </rPr>
      <t>P</t>
    </r>
    <r>
      <rPr>
        <sz val="11"/>
        <color theme="1"/>
        <rFont val="Calibri"/>
        <family val="2"/>
        <scheme val="minor"/>
      </rPr>
      <t xml:space="preserve">reparation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</t>
    </r>
  </si>
  <si>
    <r>
      <t xml:space="preserve">No. of Masters or Honours </t>
    </r>
    <r>
      <rPr>
        <sz val="11"/>
        <color rgb="FFFF0000"/>
        <rFont val="Calibri (Body)_x0000_"/>
      </rPr>
      <t>T</t>
    </r>
    <r>
      <rPr>
        <sz val="11"/>
        <color theme="1"/>
        <rFont val="Calibri"/>
        <family val="2"/>
        <scheme val="minor"/>
      </rPr>
      <t xml:space="preserve">heses </t>
    </r>
    <r>
      <rPr>
        <sz val="11"/>
        <color rgb="FFFF0000"/>
        <rFont val="Calibri (Body)_x0000_"/>
      </rPr>
      <t>M</t>
    </r>
    <r>
      <rPr>
        <sz val="11"/>
        <color theme="1"/>
        <rFont val="Calibri"/>
        <family val="2"/>
        <scheme val="minor"/>
      </rPr>
      <t>arked</t>
    </r>
  </si>
  <si>
    <t>35</t>
  </si>
  <si>
    <t>maxCCH</t>
  </si>
  <si>
    <t>wOTH</t>
  </si>
  <si>
    <t>wRTH</t>
  </si>
  <si>
    <t>2</t>
  </si>
  <si>
    <t>APH</t>
  </si>
  <si>
    <r>
      <rPr>
        <sz val="11"/>
        <color rgb="FFFF0000"/>
        <rFont val="Calibri (Body)"/>
      </rPr>
      <t>A</t>
    </r>
    <r>
      <rPr>
        <sz val="11"/>
        <color theme="1"/>
        <rFont val="Calibri"/>
        <family val="2"/>
        <scheme val="minor"/>
      </rPr>
      <t xml:space="preserve">ssessment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 xml:space="preserve">reparation </t>
    </r>
    <r>
      <rPr>
        <sz val="11"/>
        <color rgb="FFFF0000"/>
        <rFont val="Calibri (Body)"/>
      </rPr>
      <t>H</t>
    </r>
    <r>
      <rPr>
        <sz val="11"/>
        <color theme="1"/>
        <rFont val="Calibri"/>
        <family val="2"/>
        <scheme val="minor"/>
      </rPr>
      <t>ours</t>
    </r>
  </si>
  <si>
    <t>CMH</t>
  </si>
  <si>
    <t>wCMH</t>
  </si>
  <si>
    <t>0.25</t>
  </si>
  <si>
    <t>NCC</t>
  </si>
  <si>
    <t>Hours involved in preparing the assessment associated with an original contact hour.</t>
  </si>
  <si>
    <t>Extra hours involved in preparing the assessment associated with an original contact hour when FT = Y</t>
  </si>
  <si>
    <t>Extra hours involved in preparing the assessment associated with an original contact hour in a co-badged course.</t>
  </si>
  <si>
    <t>Hours of consultation and communication for each original contact hour.</t>
  </si>
  <si>
    <t>CCH</t>
  </si>
  <si>
    <t>CACH</t>
  </si>
  <si>
    <r>
      <rPr>
        <sz val="11"/>
        <color rgb="FFFF0000"/>
        <rFont val="Calibri (Body)_x0000_"/>
      </rPr>
      <t>C</t>
    </r>
    <r>
      <rPr>
        <sz val="11"/>
        <color theme="1"/>
        <rFont val="Calibri"/>
        <family val="2"/>
        <scheme val="minor"/>
      </rPr>
      <t xml:space="preserve">onsultation </t>
    </r>
    <r>
      <rPr>
        <sz val="11"/>
        <color rgb="FFFF0000"/>
        <rFont val="Calibri (Body)"/>
      </rPr>
      <t>A</t>
    </r>
    <r>
      <rPr>
        <sz val="11"/>
        <color theme="1"/>
        <rFont val="Calibri"/>
        <family val="2"/>
        <scheme val="minor"/>
      </rPr>
      <t xml:space="preserve">nd </t>
    </r>
    <r>
      <rPr>
        <sz val="11"/>
        <color rgb="FFFF0000"/>
        <rFont val="Calibri (Body)_x0000_"/>
      </rPr>
      <t>C</t>
    </r>
    <r>
      <rPr>
        <sz val="11"/>
        <color theme="1"/>
        <rFont val="Calibri"/>
        <family val="2"/>
        <scheme val="minor"/>
      </rPr>
      <t xml:space="preserve">ommunication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</t>
    </r>
  </si>
  <si>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ourse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o-ordination </t>
    </r>
    <r>
      <rPr>
        <sz val="11"/>
        <color rgb="FFFF0000"/>
        <rFont val="Calibri (Body)"/>
      </rPr>
      <t>H</t>
    </r>
    <r>
      <rPr>
        <sz val="11"/>
        <color theme="1"/>
        <rFont val="Calibri"/>
        <family val="2"/>
        <scheme val="minor"/>
      </rPr>
      <t>ours</t>
    </r>
  </si>
  <si>
    <t>TCH</t>
  </si>
  <si>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utorial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o-ordination </t>
    </r>
    <r>
      <rPr>
        <sz val="11"/>
        <color rgb="FFFF0000"/>
        <rFont val="Calibri (Body)"/>
      </rPr>
      <t>H</t>
    </r>
    <r>
      <rPr>
        <sz val="11"/>
        <color theme="1"/>
        <rFont val="Calibri"/>
        <family val="2"/>
        <scheme val="minor"/>
      </rPr>
      <t>ours</t>
    </r>
  </si>
  <si>
    <r>
      <t xml:space="preserve">= Y if staff member is the </t>
    </r>
    <r>
      <rPr>
        <sz val="11"/>
        <color rgb="FFFF0000"/>
        <rFont val="Calibri (Body)_x0000_"/>
      </rPr>
      <t>C</t>
    </r>
    <r>
      <rPr>
        <sz val="11"/>
        <color theme="1"/>
        <rFont val="Calibri"/>
        <family val="2"/>
        <scheme val="minor"/>
      </rPr>
      <t xml:space="preserve">ourse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>o-ordinator; = blank otherwise; formulas treat Y = 1 and blank = 0</t>
    </r>
  </si>
  <si>
    <r>
      <t xml:space="preserve">= Y if staff member is the </t>
    </r>
    <r>
      <rPr>
        <sz val="11"/>
        <color rgb="FFFF0000"/>
        <rFont val="Calibri (Body)_x0000_"/>
      </rPr>
      <t>T</t>
    </r>
    <r>
      <rPr>
        <sz val="11"/>
        <color theme="1"/>
        <rFont val="Calibri"/>
        <family val="2"/>
        <scheme val="minor"/>
      </rPr>
      <t xml:space="preserve">utorial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>o-ordinator; = blank otherwise; formulas treat Y = 1 and blank = 0</t>
    </r>
  </si>
  <si>
    <t>WL = Weeks of Lectures</t>
  </si>
  <si>
    <t>LD = Lecture Duration (Hrs)</t>
  </si>
  <si>
    <t>WT = Weeks of Tutorials</t>
  </si>
  <si>
    <t>TD = Tutorial Duration (Hrs)</t>
  </si>
  <si>
    <t>Course
 ID (Formula)</t>
  </si>
  <si>
    <t>LD</t>
  </si>
  <si>
    <t>TD</t>
  </si>
  <si>
    <t>WL</t>
  </si>
  <si>
    <t>WT</t>
  </si>
  <si>
    <r>
      <rPr>
        <sz val="11"/>
        <color rgb="FFFF0000"/>
        <rFont val="Calibri (Body)"/>
      </rPr>
      <t>L</t>
    </r>
    <r>
      <rPr>
        <sz val="11"/>
        <color theme="1"/>
        <rFont val="Calibri"/>
        <family val="2"/>
        <scheme val="minor"/>
      </rPr>
      <t xml:space="preserve">ecture </t>
    </r>
    <r>
      <rPr>
        <sz val="11"/>
        <color rgb="FFFF0000"/>
        <rFont val="Calibri (Body)"/>
      </rPr>
      <t>D</t>
    </r>
    <r>
      <rPr>
        <sz val="11"/>
        <color theme="1"/>
        <rFont val="Calibri"/>
        <family val="2"/>
        <scheme val="minor"/>
      </rPr>
      <t>uration in Hours</t>
    </r>
  </si>
  <si>
    <r>
      <rPr>
        <sz val="11"/>
        <color rgb="FFFF0000"/>
        <rFont val="Calibri (Body)"/>
      </rPr>
      <t>W</t>
    </r>
    <r>
      <rPr>
        <sz val="11"/>
        <color theme="1"/>
        <rFont val="Calibri"/>
        <family val="2"/>
        <scheme val="minor"/>
      </rPr>
      <t xml:space="preserve">eeks of </t>
    </r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>utorials</t>
    </r>
  </si>
  <si>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utorial </t>
    </r>
    <r>
      <rPr>
        <sz val="11"/>
        <color rgb="FFFF0000"/>
        <rFont val="Calibri (Body)"/>
      </rPr>
      <t>D</t>
    </r>
    <r>
      <rPr>
        <sz val="11"/>
        <color theme="1"/>
        <rFont val="Calibri"/>
        <family val="2"/>
        <scheme val="minor"/>
      </rPr>
      <t>uration in Hours</t>
    </r>
  </si>
  <si>
    <r>
      <rPr>
        <sz val="11"/>
        <color rgb="FFFF0000"/>
        <rFont val="Calibri (Body)"/>
      </rPr>
      <t>W</t>
    </r>
    <r>
      <rPr>
        <sz val="11"/>
        <color theme="1"/>
        <rFont val="Calibri"/>
        <family val="2"/>
        <scheme val="minor"/>
      </rPr>
      <t xml:space="preserve">eeks of </t>
    </r>
    <r>
      <rPr>
        <sz val="11"/>
        <color rgb="FFFF0000"/>
        <rFont val="Calibri (Body)"/>
      </rPr>
      <t>L</t>
    </r>
    <r>
      <rPr>
        <sz val="11"/>
        <color theme="1"/>
        <rFont val="Calibri"/>
        <family val="2"/>
        <scheme val="minor"/>
      </rPr>
      <t>ectures</t>
    </r>
  </si>
  <si>
    <t>RL = No. of Repeat Lectures per Week (Formula)</t>
  </si>
  <si>
    <t xml:space="preserve">TG = No. of Tutorial
Groups (Formula) </t>
  </si>
  <si>
    <t>RL</t>
  </si>
  <si>
    <t>TG</t>
  </si>
  <si>
    <r>
      <t xml:space="preserve">No. of </t>
    </r>
    <r>
      <rPr>
        <sz val="11"/>
        <color rgb="FFFF0000"/>
        <rFont val="Calibri (Body)"/>
      </rPr>
      <t>R</t>
    </r>
    <r>
      <rPr>
        <sz val="11"/>
        <color theme="1"/>
        <rFont val="Calibri"/>
        <family val="2"/>
        <scheme val="minor"/>
      </rPr>
      <t xml:space="preserve">epeat </t>
    </r>
    <r>
      <rPr>
        <sz val="11"/>
        <color rgb="FFFF0000"/>
        <rFont val="Calibri (Body)"/>
      </rPr>
      <t>L</t>
    </r>
    <r>
      <rPr>
        <sz val="11"/>
        <color theme="1"/>
        <rFont val="Calibri"/>
        <family val="2"/>
        <scheme val="minor"/>
      </rPr>
      <t>ectures per Week</t>
    </r>
  </si>
  <si>
    <r>
      <t xml:space="preserve">No. of </t>
    </r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utorial </t>
    </r>
    <r>
      <rPr>
        <sz val="11"/>
        <color rgb="FFFF0000"/>
        <rFont val="Calibri (Body)"/>
      </rPr>
      <t>G</t>
    </r>
    <r>
      <rPr>
        <sz val="11"/>
        <color theme="1"/>
        <rFont val="Calibri"/>
        <family val="2"/>
        <scheme val="minor"/>
      </rPr>
      <t>roups</t>
    </r>
  </si>
  <si>
    <t>AL = Allocated Lectures Per Week</t>
  </si>
  <si>
    <t>AWL = Allocated Weeks of Lectures</t>
  </si>
  <si>
    <t>AT = Allocated Tutorials Per Week</t>
  </si>
  <si>
    <t>AWT = Allocated Weeks of Tutorials</t>
  </si>
  <si>
    <t>AL</t>
  </si>
  <si>
    <t>AWL</t>
  </si>
  <si>
    <t>AWT</t>
  </si>
  <si>
    <r>
      <rPr>
        <sz val="11"/>
        <color rgb="FFFF0000"/>
        <rFont val="Calibri (Body)"/>
      </rPr>
      <t>A</t>
    </r>
    <r>
      <rPr>
        <sz val="11"/>
        <color theme="1"/>
        <rFont val="Calibri"/>
        <family val="2"/>
        <scheme val="minor"/>
      </rPr>
      <t xml:space="preserve">llocated </t>
    </r>
    <r>
      <rPr>
        <sz val="11"/>
        <color rgb="FFFF0000"/>
        <rFont val="Calibri (Body)"/>
      </rPr>
      <t>L</t>
    </r>
    <r>
      <rPr>
        <sz val="11"/>
        <color theme="1"/>
        <rFont val="Calibri"/>
        <family val="2"/>
        <scheme val="minor"/>
      </rPr>
      <t>ectures per Week</t>
    </r>
  </si>
  <si>
    <r>
      <rPr>
        <sz val="11"/>
        <color rgb="FFFF0000"/>
        <rFont val="Calibri (Body)"/>
      </rPr>
      <t>A</t>
    </r>
    <r>
      <rPr>
        <sz val="11"/>
        <color theme="1"/>
        <rFont val="Calibri"/>
        <family val="2"/>
        <scheme val="minor"/>
      </rPr>
      <t xml:space="preserve">llocated </t>
    </r>
    <r>
      <rPr>
        <sz val="11"/>
        <color rgb="FFFF0000"/>
        <rFont val="Calibri (Body)"/>
      </rPr>
      <t>W</t>
    </r>
    <r>
      <rPr>
        <sz val="11"/>
        <color theme="1"/>
        <rFont val="Calibri"/>
        <family val="2"/>
        <scheme val="minor"/>
      </rPr>
      <t xml:space="preserve">eeks of </t>
    </r>
    <r>
      <rPr>
        <sz val="11"/>
        <color rgb="FFFF0000"/>
        <rFont val="Calibri (Body)"/>
      </rPr>
      <t>L</t>
    </r>
    <r>
      <rPr>
        <sz val="11"/>
        <color theme="1"/>
        <rFont val="Calibri"/>
        <family val="2"/>
        <scheme val="minor"/>
      </rPr>
      <t>ectures</t>
    </r>
  </si>
  <si>
    <r>
      <rPr>
        <sz val="11"/>
        <color rgb="FFFF0000"/>
        <rFont val="Calibri (Body)"/>
      </rPr>
      <t>A</t>
    </r>
    <r>
      <rPr>
        <sz val="11"/>
        <color theme="1"/>
        <rFont val="Calibri"/>
        <family val="2"/>
        <scheme val="minor"/>
      </rPr>
      <t xml:space="preserve">llocated </t>
    </r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>utorials per Week</t>
    </r>
  </si>
  <si>
    <r>
      <rPr>
        <sz val="11"/>
        <color rgb="FFFF0000"/>
        <rFont val="Calibri (Body)"/>
      </rPr>
      <t>A</t>
    </r>
    <r>
      <rPr>
        <sz val="11"/>
        <color theme="1"/>
        <rFont val="Calibri"/>
        <family val="2"/>
        <scheme val="minor"/>
      </rPr>
      <t xml:space="preserve">llocated </t>
    </r>
    <r>
      <rPr>
        <sz val="11"/>
        <color rgb="FFFF0000"/>
        <rFont val="Calibri (Body)"/>
      </rPr>
      <t>W</t>
    </r>
    <r>
      <rPr>
        <sz val="11"/>
        <color theme="1"/>
        <rFont val="Calibri"/>
        <family val="2"/>
        <scheme val="minor"/>
      </rPr>
      <t xml:space="preserve">eeks of </t>
    </r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>utorials</t>
    </r>
  </si>
  <si>
    <t>If AL &gt; 0, then OLH = AWL*LD; = 0 otherwise</t>
  </si>
  <si>
    <t>If AL &gt; 1, then RLH = (AL - 1)*AWL*LD; = 0 otherwise</t>
  </si>
  <si>
    <t>If AT &gt; 0, then OTH = AWT*TD; = 0 otherwise</t>
  </si>
  <si>
    <t>If AT &gt; 1, then RTH = (AT - 1)*AWT*TD; = 0 otherwise</t>
  </si>
  <si>
    <t>wCACH1</t>
  </si>
  <si>
    <t>wCACH2</t>
  </si>
  <si>
    <t>maxCACH</t>
  </si>
  <si>
    <r>
      <rPr>
        <sz val="11"/>
        <color rgb="FFFF0000"/>
        <rFont val="Calibri (Body)"/>
      </rPr>
      <t>N</t>
    </r>
    <r>
      <rPr>
        <sz val="11"/>
        <color theme="1"/>
        <rFont val="Calibri"/>
        <family val="2"/>
        <scheme val="minor"/>
      </rPr>
      <t xml:space="preserve">umber of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>o-b</t>
    </r>
    <r>
      <rPr>
        <sz val="11"/>
        <color theme="1"/>
        <rFont val="Calibri (Body)"/>
      </rPr>
      <t xml:space="preserve">adged </t>
    </r>
    <r>
      <rPr>
        <sz val="11"/>
        <color rgb="FFFF0000"/>
        <rFont val="Calibri (Body)"/>
      </rPr>
      <t>C</t>
    </r>
    <r>
      <rPr>
        <sz val="11"/>
        <color theme="1"/>
        <rFont val="Calibri (Body)"/>
      </rPr>
      <t>ourses</t>
    </r>
  </si>
  <si>
    <t>= no. of badges - 1</t>
  </si>
  <si>
    <t>Course co-ordination hours per student when the course DOES have admin assistance; total hours per course cannot exceed maxCCH.</t>
  </si>
  <si>
    <t>Course co-ordination hours per student when the course does not have admin assistance; total hours per course cannot exceed maxCCH.</t>
  </si>
  <si>
    <t>wCCH3</t>
  </si>
  <si>
    <t>wCCH4</t>
  </si>
  <si>
    <t>Extra hours of tutorial co-ordination per original tutorial hour when FT = Y</t>
  </si>
  <si>
    <t>Tutorial co-ordination hours per student when the course does not have admin assistance; total hours per course cannot exceed maxTCH.</t>
  </si>
  <si>
    <t>Tutorial co-ordination hours per student when the course DOES have admin assistance; total hours per course cannot exceed maxTCH.</t>
  </si>
  <si>
    <t>0.0625</t>
  </si>
  <si>
    <t>0.0208</t>
  </si>
  <si>
    <t>maxTCH</t>
  </si>
  <si>
    <t>16.25</t>
  </si>
  <si>
    <r>
      <rPr>
        <sz val="11"/>
        <color rgb="FFFF0000"/>
        <rFont val="Calibri (Body)"/>
      </rPr>
      <t>max</t>
    </r>
    <r>
      <rPr>
        <sz val="11"/>
        <color theme="1"/>
        <rFont val="Calibri"/>
        <family val="2"/>
        <scheme val="minor"/>
      </rPr>
      <t xml:space="preserve">imum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ourse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o-ordination </t>
    </r>
    <r>
      <rPr>
        <sz val="11"/>
        <color rgb="FFFF0000"/>
        <rFont val="Calibri (Body)"/>
      </rPr>
      <t>H</t>
    </r>
    <r>
      <rPr>
        <sz val="11"/>
        <color theme="1"/>
        <rFont val="Calibri"/>
        <family val="2"/>
        <scheme val="minor"/>
      </rPr>
      <t>ours directly related to enrolments; hours above maxCCH are not counted as workload</t>
    </r>
  </si>
  <si>
    <r>
      <rPr>
        <sz val="11"/>
        <color rgb="FFFF0000"/>
        <rFont val="Calibri (Body)"/>
      </rPr>
      <t>max</t>
    </r>
    <r>
      <rPr>
        <sz val="11"/>
        <color theme="1"/>
        <rFont val="Calibri"/>
        <family val="2"/>
        <scheme val="minor"/>
      </rPr>
      <t xml:space="preserve">imum </t>
    </r>
    <r>
      <rPr>
        <sz val="11"/>
        <color rgb="FFFF0000"/>
        <rFont val="Calibri (Body)"/>
      </rPr>
      <t>T</t>
    </r>
    <r>
      <rPr>
        <sz val="11"/>
        <color theme="1"/>
        <rFont val="Calibri (Body)"/>
      </rPr>
      <t>utorial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o-ordination </t>
    </r>
    <r>
      <rPr>
        <sz val="11"/>
        <color rgb="FFFF0000"/>
        <rFont val="Calibri (Body)"/>
      </rPr>
      <t>H</t>
    </r>
    <r>
      <rPr>
        <sz val="11"/>
        <color theme="1"/>
        <rFont val="Calibri"/>
        <family val="2"/>
        <scheme val="minor"/>
      </rPr>
      <t>ours directly related to enrolments; hours above maxTCH are not counted as workload</t>
    </r>
  </si>
  <si>
    <r>
      <rPr>
        <sz val="11"/>
        <color rgb="FFFF0000"/>
        <rFont val="Calibri (Body)"/>
      </rPr>
      <t>max</t>
    </r>
    <r>
      <rPr>
        <sz val="11"/>
        <color theme="1"/>
        <rFont val="Calibri"/>
        <family val="2"/>
        <scheme val="minor"/>
      </rPr>
      <t xml:space="preserve">imum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onsultation </t>
    </r>
    <r>
      <rPr>
        <sz val="11"/>
        <color rgb="FFFF0000"/>
        <rFont val="Calibri (Body)"/>
      </rPr>
      <t>A</t>
    </r>
    <r>
      <rPr>
        <sz val="11"/>
        <color theme="1"/>
        <rFont val="Calibri"/>
        <family val="2"/>
        <scheme val="minor"/>
      </rPr>
      <t xml:space="preserve">nd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ommunication </t>
    </r>
    <r>
      <rPr>
        <sz val="11"/>
        <color rgb="FFFF0000"/>
        <rFont val="Calibri (Body)"/>
      </rPr>
      <t>H</t>
    </r>
    <r>
      <rPr>
        <sz val="11"/>
        <color theme="1"/>
        <rFont val="Calibri"/>
        <family val="2"/>
        <scheme val="minor"/>
      </rPr>
      <t>ours directly related to enrolments; hours above maxCACH are not counted as workload.</t>
    </r>
  </si>
  <si>
    <t>Courses</t>
  </si>
  <si>
    <t>Teaching Allocations</t>
  </si>
  <si>
    <t>Supervision</t>
  </si>
  <si>
    <t>Thesis Marking</t>
  </si>
  <si>
    <t>Service Allocations</t>
  </si>
  <si>
    <t>Workloads</t>
  </si>
  <si>
    <t>Variable</t>
  </si>
  <si>
    <t>Description</t>
  </si>
  <si>
    <t>Hours of tutorial co-ordination per original tutorial hour.</t>
  </si>
  <si>
    <t>wTCH1</t>
  </si>
  <si>
    <t>wTCH2</t>
  </si>
  <si>
    <t>wTCH3</t>
  </si>
  <si>
    <t>wTCH4</t>
  </si>
  <si>
    <r>
      <t xml:space="preserve">= Y  if course receives </t>
    </r>
    <r>
      <rPr>
        <sz val="11"/>
        <color rgb="FFFF0000"/>
        <rFont val="Calibri (Body)"/>
      </rPr>
      <t>A</t>
    </r>
    <r>
      <rPr>
        <sz val="11"/>
        <color theme="1"/>
        <rFont val="Calibri"/>
        <family val="2"/>
        <scheme val="minor"/>
      </rPr>
      <t xml:space="preserve">dministrative </t>
    </r>
    <r>
      <rPr>
        <sz val="11"/>
        <color rgb="FFFF0000"/>
        <rFont val="Calibri (Body)"/>
      </rPr>
      <t>A</t>
    </r>
    <r>
      <rPr>
        <sz val="11"/>
        <color theme="1"/>
        <rFont val="Calibri"/>
        <family val="2"/>
        <scheme val="minor"/>
      </rPr>
      <t>ssistance; = blank otherwise; formulas treat Y = 1 and blank = 0</t>
    </r>
  </si>
  <si>
    <t>NCC = No. of Co-badged Courses (Formula)</t>
  </si>
  <si>
    <t>CCH = Course Co-ordination Hours (Formula)</t>
  </si>
  <si>
    <t>TCH = Tutorial Co-ordination Hours (Formula)</t>
  </si>
  <si>
    <t>LPH = Lecture Preparation Hours (Formula)</t>
  </si>
  <si>
    <t>TPH = Tutorial Preparation Hours (Formula)</t>
  </si>
  <si>
    <t>OLH = Original Lecture Hours Delivered
(Formula)</t>
  </si>
  <si>
    <t>RLH = Repeat Lecture Hours Delivered
(Formula)</t>
  </si>
  <si>
    <t>OTH = Original Tutorial Hours Delivered
(Formula)</t>
  </si>
  <si>
    <t>RTH = Repeat Tutorial Hours Delivered
(Formula)</t>
  </si>
  <si>
    <t>Hours involved in preparing an original one-hour lecture.</t>
  </si>
  <si>
    <t>Hours involved in preparing a repeat one-hour lecture.</t>
  </si>
  <si>
    <t>Hours involved in preparing an original one-hour tutorial.</t>
  </si>
  <si>
    <t>Hours involved in preparing a repeat one-hour tutorial.</t>
  </si>
  <si>
    <t>wOLH1</t>
  </si>
  <si>
    <t>wOLH2</t>
  </si>
  <si>
    <t>wOLH3</t>
  </si>
  <si>
    <t>wAPH1</t>
  </si>
  <si>
    <t>wAPH2</t>
  </si>
  <si>
    <t>wAPH3</t>
  </si>
  <si>
    <t>wCACH3</t>
  </si>
  <si>
    <t>Extra hours involved in preparing an original one-hour lecture in a UQ2U course.</t>
  </si>
  <si>
    <t xml:space="preserve">= (wOLH1+wOLH2*FT+wOLH3*UQ2U)*OLH + wRLH*RLH </t>
  </si>
  <si>
    <t>Extra hours involved in preparing an original one-hour lecture when FT = Y.</t>
  </si>
  <si>
    <t>= wOTH*OTH + wRTH*RTH</t>
  </si>
  <si>
    <t>Consultation and communication hours per student when the course does not have admin assistance; wCACH2*PE cannot exceed maxCACH.</t>
  </si>
  <si>
    <t>Consultation and communication hours per student when the course DOES have admin assistance; wCACH3*PE cannot exceed maxCACH.</t>
  </si>
  <si>
    <t>APH = Assessment Preparation Hours (Formula)</t>
  </si>
  <si>
    <t xml:space="preserve">CACH = Consultation And Communication Hours (Formula) </t>
  </si>
  <si>
    <r>
      <rPr>
        <sz val="11"/>
        <color rgb="FFFF0000"/>
        <rFont val="Calibri (Body)"/>
      </rPr>
      <t>max</t>
    </r>
    <r>
      <rPr>
        <sz val="11"/>
        <color theme="1"/>
        <rFont val="Calibri"/>
        <family val="2"/>
        <scheme val="minor"/>
      </rPr>
      <t xml:space="preserve">imum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ourse </t>
    </r>
    <r>
      <rPr>
        <sz val="11"/>
        <color rgb="FFFF0000"/>
        <rFont val="Calibri (Body)"/>
      </rPr>
      <t>M</t>
    </r>
    <r>
      <rPr>
        <sz val="11"/>
        <color theme="1"/>
        <rFont val="Calibri (Body)"/>
      </rPr>
      <t xml:space="preserve">arking </t>
    </r>
    <r>
      <rPr>
        <sz val="11"/>
        <color rgb="FFFF0000"/>
        <rFont val="Calibri (Body)"/>
      </rPr>
      <t>H</t>
    </r>
    <r>
      <rPr>
        <sz val="11"/>
        <color theme="1"/>
        <rFont val="Calibri (Body)"/>
      </rPr>
      <t>ours;</t>
    </r>
    <r>
      <rPr>
        <sz val="11"/>
        <color theme="1"/>
        <rFont val="Calibri"/>
        <family val="2"/>
        <scheme val="minor"/>
      </rPr>
      <t xml:space="preserve"> hours above maxCMH are not counted as workload</t>
    </r>
  </si>
  <si>
    <t>maxCMH</t>
  </si>
  <si>
    <t>TTH = Total Teaching Hours (Formula)</t>
  </si>
  <si>
    <t>TTB = Total Teaching Blocks (Formula)</t>
  </si>
  <si>
    <r>
      <rPr>
        <sz val="11"/>
        <color rgb="FFFF0000"/>
        <rFont val="Calibri (Body)_x0000_"/>
      </rPr>
      <t>T</t>
    </r>
    <r>
      <rPr>
        <sz val="11"/>
        <color theme="1"/>
        <rFont val="Calibri (Body)_x0000_"/>
      </rPr>
      <t xml:space="preserve">otal </t>
    </r>
    <r>
      <rPr>
        <sz val="11"/>
        <color rgb="FFFF0000"/>
        <rFont val="Calibri (Body)_x0000_"/>
      </rPr>
      <t>T</t>
    </r>
    <r>
      <rPr>
        <sz val="11"/>
        <color theme="1"/>
        <rFont val="Calibri (Body)_x0000_"/>
      </rPr>
      <t>eaching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</t>
    </r>
  </si>
  <si>
    <t>TTB</t>
  </si>
  <si>
    <t>TTH</t>
  </si>
  <si>
    <r>
      <rPr>
        <sz val="11"/>
        <color rgb="FFFF0000"/>
        <rFont val="Calibri (Body)_x0000_"/>
      </rPr>
      <t>T</t>
    </r>
    <r>
      <rPr>
        <sz val="11"/>
        <color theme="1"/>
        <rFont val="Calibri (Body)_x0000_"/>
      </rPr>
      <t xml:space="preserve">otal </t>
    </r>
    <r>
      <rPr>
        <sz val="11"/>
        <color rgb="FFFF0000"/>
        <rFont val="Calibri (Body)_x0000_"/>
      </rPr>
      <t>T</t>
    </r>
    <r>
      <rPr>
        <sz val="11"/>
        <color theme="1"/>
        <rFont val="Calibri (Body)_x0000_"/>
      </rPr>
      <t>eaching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>locks</t>
    </r>
  </si>
  <si>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ourse </t>
    </r>
    <r>
      <rPr>
        <sz val="11"/>
        <color rgb="FFFF0000"/>
        <rFont val="Calibri (Body)"/>
      </rPr>
      <t>M</t>
    </r>
    <r>
      <rPr>
        <sz val="11"/>
        <color theme="1"/>
        <rFont val="Calibri"/>
        <family val="2"/>
        <scheme val="minor"/>
      </rPr>
      <t xml:space="preserve">arking </t>
    </r>
    <r>
      <rPr>
        <sz val="11"/>
        <color rgb="FFFF0000"/>
        <rFont val="Calibri (Body)"/>
      </rPr>
      <t>H</t>
    </r>
    <r>
      <rPr>
        <sz val="11"/>
        <color theme="1"/>
        <rFont val="Calibri"/>
        <family val="2"/>
        <scheme val="minor"/>
      </rPr>
      <t>ours</t>
    </r>
  </si>
  <si>
    <t>CMH = Course Marking Hours (Formula)</t>
  </si>
  <si>
    <t>= CWH/172.5 rounded to 1 decimal place</t>
  </si>
  <si>
    <t>Lcap</t>
  </si>
  <si>
    <r>
      <rPr>
        <sz val="11"/>
        <color rgb="FFFF0000"/>
        <rFont val="Calibri (Body)"/>
      </rPr>
      <t>L</t>
    </r>
    <r>
      <rPr>
        <sz val="11"/>
        <color theme="1"/>
        <rFont val="Calibri"/>
        <family val="2"/>
        <scheme val="minor"/>
      </rPr>
      <t xml:space="preserve">ecture </t>
    </r>
    <r>
      <rPr>
        <sz val="11"/>
        <color rgb="FFFF0000"/>
        <rFont val="Calibri (Body)"/>
      </rPr>
      <t>cap</t>
    </r>
    <r>
      <rPr>
        <sz val="11"/>
        <color theme="1"/>
        <rFont val="Calibri"/>
        <family val="2"/>
        <scheme val="minor"/>
      </rPr>
      <t>acity; if predicted enrolments exceed Lcap, then a repeat lecture is timetabled.</t>
    </r>
  </si>
  <si>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utorial </t>
    </r>
    <r>
      <rPr>
        <sz val="11"/>
        <color rgb="FFFF0000"/>
        <rFont val="Calibri (Body)"/>
      </rPr>
      <t>cap</t>
    </r>
    <r>
      <rPr>
        <sz val="11"/>
        <color theme="1"/>
        <rFont val="Calibri"/>
        <family val="2"/>
        <scheme val="minor"/>
      </rPr>
      <t>acity; the number of tutorial groups is determined by dividing predicted enrolments by Tcap then rounding up to the nearest integer.</t>
    </r>
  </si>
  <si>
    <t>Tcap</t>
  </si>
  <si>
    <t>if PE  &gt; Lcap, then RL = 1; = 0 otherwise</t>
  </si>
  <si>
    <t>= roundup(PE/Tcap,0)</t>
  </si>
  <si>
    <t>TSH</t>
  </si>
  <si>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otal </t>
    </r>
    <r>
      <rPr>
        <sz val="11"/>
        <color rgb="FFFF0000"/>
        <rFont val="Calibri (Body)"/>
      </rPr>
      <t>S</t>
    </r>
    <r>
      <rPr>
        <sz val="11"/>
        <color theme="1"/>
        <rFont val="Calibri"/>
        <family val="2"/>
        <scheme val="minor"/>
      </rPr>
      <t xml:space="preserve">upervision </t>
    </r>
    <r>
      <rPr>
        <sz val="11"/>
        <color rgb="FFFF0000"/>
        <rFont val="Calibri (Body)"/>
      </rPr>
      <t>H</t>
    </r>
    <r>
      <rPr>
        <sz val="11"/>
        <color theme="1"/>
        <rFont val="Calibri"/>
        <family val="2"/>
        <scheme val="minor"/>
      </rPr>
      <t>ours</t>
    </r>
  </si>
  <si>
    <r>
      <t xml:space="preserve">= Y if the student is completing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 xml:space="preserve">hD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>oursework; = blank otherwise; formulas treat Y = 1 and blank = 0</t>
    </r>
  </si>
  <si>
    <t>PC</t>
  </si>
  <si>
    <t>PT</t>
  </si>
  <si>
    <t>MT</t>
  </si>
  <si>
    <t>HT</t>
  </si>
  <si>
    <t>Start Date (PhD only)</t>
  </si>
  <si>
    <t>TSB</t>
  </si>
  <si>
    <t>= TSH/172.5</t>
  </si>
  <si>
    <t>TSH =Total Supervision Hours (Formula)</t>
  </si>
  <si>
    <t>TSB = Total Supervision Blocks (Formula)</t>
  </si>
  <si>
    <t>Marker</t>
  </si>
  <si>
    <t>TMH = Thesis Marking Hours (Formula)</t>
  </si>
  <si>
    <t>TMB = Thesis Marking Blocks (Formula)</t>
  </si>
  <si>
    <t>TTMH</t>
  </si>
  <si>
    <t>TTMB</t>
  </si>
  <si>
    <t>wPC</t>
  </si>
  <si>
    <t>wPT</t>
  </si>
  <si>
    <t>wMT</t>
  </si>
  <si>
    <t>wHT</t>
  </si>
  <si>
    <t>wTM</t>
  </si>
  <si>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otal </t>
    </r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hesis </t>
    </r>
    <r>
      <rPr>
        <sz val="11"/>
        <color rgb="FFFF0000"/>
        <rFont val="Calibri (Body)"/>
      </rPr>
      <t>M</t>
    </r>
    <r>
      <rPr>
        <sz val="11"/>
        <color theme="1"/>
        <rFont val="Calibri"/>
        <family val="2"/>
        <scheme val="minor"/>
      </rPr>
      <t xml:space="preserve">arking </t>
    </r>
    <r>
      <rPr>
        <sz val="11"/>
        <color rgb="FFFF0000"/>
        <rFont val="Calibri (Body)"/>
      </rPr>
      <t>H</t>
    </r>
    <r>
      <rPr>
        <sz val="11"/>
        <color theme="1"/>
        <rFont val="Calibri"/>
        <family val="2"/>
        <scheme val="minor"/>
      </rPr>
      <t>ours</t>
    </r>
  </si>
  <si>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otal </t>
    </r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hesis </t>
    </r>
    <r>
      <rPr>
        <sz val="11"/>
        <color rgb="FFFF0000"/>
        <rFont val="Calibri (Body)"/>
      </rPr>
      <t>M</t>
    </r>
    <r>
      <rPr>
        <sz val="11"/>
        <color theme="1"/>
        <rFont val="Calibri"/>
        <family val="2"/>
        <scheme val="minor"/>
      </rPr>
      <t xml:space="preserve">arking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>locks</t>
    </r>
  </si>
  <si>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 xml:space="preserve">otal </t>
    </r>
    <r>
      <rPr>
        <sz val="11"/>
        <color rgb="FFFF0000"/>
        <rFont val="Calibri (Body)"/>
      </rPr>
      <t>S</t>
    </r>
    <r>
      <rPr>
        <sz val="11"/>
        <color theme="1"/>
        <rFont val="Calibri"/>
        <family val="2"/>
        <scheme val="minor"/>
      </rPr>
      <t xml:space="preserve">upervision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>locks</t>
    </r>
  </si>
  <si>
    <t>= TSH/172.5 rounded to 2 decimal places</t>
  </si>
  <si>
    <t>Hours per week involved in supervising a student who has completed all PhD coursework and is writing the thesis</t>
  </si>
  <si>
    <t>Hours per week involves in supervising a student who is completing a Masters thesis</t>
  </si>
  <si>
    <t>Hours per week involves in supervising a student who is completing an Honours thesis</t>
  </si>
  <si>
    <t xml:space="preserve">Hours per week involved in supervising a student completing PhD coursework </t>
  </si>
  <si>
    <t>General citizenship blocks</t>
  </si>
  <si>
    <r>
      <rPr>
        <sz val="11"/>
        <color rgb="FFFF0000"/>
        <rFont val="Calibri (Body)_x0000_"/>
      </rPr>
      <t>S</t>
    </r>
    <r>
      <rPr>
        <sz val="11"/>
        <color theme="1"/>
        <rFont val="Calibri"/>
        <family val="2"/>
        <scheme val="minor"/>
      </rPr>
      <t xml:space="preserve">ervice </t>
    </r>
    <r>
      <rPr>
        <sz val="11"/>
        <color rgb="FFFF0000"/>
        <rFont val="Calibri (Body)_x0000_"/>
      </rPr>
      <t>W</t>
    </r>
    <r>
      <rPr>
        <sz val="11"/>
        <color theme="1"/>
        <rFont val="Calibri"/>
        <family val="2"/>
        <scheme val="minor"/>
      </rPr>
      <t xml:space="preserve">orkload (excluding general citizenship) measured in </t>
    </r>
    <r>
      <rPr>
        <sz val="11"/>
        <color rgb="FFFF0000"/>
        <rFont val="Calibri (Body)_x0000_"/>
      </rPr>
      <t>B</t>
    </r>
    <r>
      <rPr>
        <sz val="11"/>
        <color theme="1"/>
        <rFont val="Calibri"/>
        <family val="2"/>
        <scheme val="minor"/>
      </rPr>
      <t>locks</t>
    </r>
  </si>
  <si>
    <t>SWGCH</t>
  </si>
  <si>
    <t>SWGCB</t>
  </si>
  <si>
    <r>
      <rPr>
        <sz val="11"/>
        <color rgb="FFFF0000"/>
        <rFont val="Calibri (Body)_x0000_"/>
      </rPr>
      <t>S</t>
    </r>
    <r>
      <rPr>
        <sz val="11"/>
        <color theme="1"/>
        <rFont val="Calibri"/>
        <family val="2"/>
        <scheme val="minor"/>
      </rPr>
      <t xml:space="preserve">ervice </t>
    </r>
    <r>
      <rPr>
        <sz val="11"/>
        <color rgb="FFFF0000"/>
        <rFont val="Calibri (Body)_x0000_"/>
      </rPr>
      <t>W</t>
    </r>
    <r>
      <rPr>
        <sz val="11"/>
        <color theme="1"/>
        <rFont val="Calibri"/>
        <family val="2"/>
        <scheme val="minor"/>
      </rPr>
      <t xml:space="preserve">orkload and </t>
    </r>
    <r>
      <rPr>
        <sz val="11"/>
        <color rgb="FFFF0000"/>
        <rFont val="Calibri (Body)"/>
      </rPr>
      <t>G</t>
    </r>
    <r>
      <rPr>
        <sz val="11"/>
        <color theme="1"/>
        <rFont val="Calibri"/>
        <family val="2"/>
        <scheme val="minor"/>
      </rPr>
      <t xml:space="preserve">eneral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itizenship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</t>
    </r>
  </si>
  <si>
    <r>
      <rPr>
        <sz val="11"/>
        <color rgb="FFFF0000"/>
        <rFont val="Calibri (Body)_x0000_"/>
      </rPr>
      <t>S</t>
    </r>
    <r>
      <rPr>
        <sz val="11"/>
        <color theme="1"/>
        <rFont val="Calibri"/>
        <family val="2"/>
        <scheme val="minor"/>
      </rPr>
      <t xml:space="preserve">ervice </t>
    </r>
    <r>
      <rPr>
        <sz val="11"/>
        <color rgb="FFFF0000"/>
        <rFont val="Calibri (Body)_x0000_"/>
      </rPr>
      <t>W</t>
    </r>
    <r>
      <rPr>
        <sz val="11"/>
        <color theme="1"/>
        <rFont val="Calibri"/>
        <family val="2"/>
        <scheme val="minor"/>
      </rPr>
      <t xml:space="preserve">orkload and </t>
    </r>
    <r>
      <rPr>
        <sz val="11"/>
        <color rgb="FFFF0000"/>
        <rFont val="Calibri (Body)"/>
      </rPr>
      <t>G</t>
    </r>
    <r>
      <rPr>
        <sz val="11"/>
        <color theme="1"/>
        <rFont val="Calibri"/>
        <family val="2"/>
        <scheme val="minor"/>
      </rPr>
      <t xml:space="preserve">eneral </t>
    </r>
    <r>
      <rPr>
        <sz val="11"/>
        <color rgb="FFFF0000"/>
        <rFont val="Calibri (Body)"/>
      </rPr>
      <t>C</t>
    </r>
    <r>
      <rPr>
        <sz val="11"/>
        <color theme="1"/>
        <rFont val="Calibri"/>
        <family val="2"/>
        <scheme val="minor"/>
      </rPr>
      <t xml:space="preserve">itizenship </t>
    </r>
    <r>
      <rPr>
        <sz val="11"/>
        <color rgb="FFFF0000"/>
        <rFont val="Calibri (Body)_x0000_"/>
      </rPr>
      <t>B</t>
    </r>
    <r>
      <rPr>
        <sz val="11"/>
        <color theme="1"/>
        <rFont val="Calibri"/>
        <family val="2"/>
        <scheme val="minor"/>
      </rPr>
      <t>locks</t>
    </r>
  </si>
  <si>
    <t>= SWGCH/172.5</t>
  </si>
  <si>
    <t>= TTMH/172.5</t>
  </si>
  <si>
    <t>= TTH/172.5</t>
  </si>
  <si>
    <r>
      <rPr>
        <sz val="11"/>
        <color rgb="FFFF0000"/>
        <rFont val="Calibri (Body)_x0000_"/>
      </rPr>
      <t>T</t>
    </r>
    <r>
      <rPr>
        <sz val="11"/>
        <color theme="1"/>
        <rFont val="Calibri (Body)_x0000_"/>
      </rPr>
      <t xml:space="preserve">otal </t>
    </r>
    <r>
      <rPr>
        <sz val="11"/>
        <color rgb="FFFF0000"/>
        <rFont val="Calibri (Body)_x0000_"/>
      </rPr>
      <t>T</t>
    </r>
    <r>
      <rPr>
        <sz val="11"/>
        <color theme="1"/>
        <rFont val="Calibri (Body)_x0000_"/>
      </rPr>
      <t>eaching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_x0000_"/>
      </rPr>
      <t>B</t>
    </r>
    <r>
      <rPr>
        <sz val="11"/>
        <color theme="1"/>
        <rFont val="Calibri (Body)_x0000_"/>
      </rPr>
      <t>locks</t>
    </r>
  </si>
  <si>
    <r>
      <rPr>
        <sz val="11"/>
        <color rgb="FFFF0000"/>
        <rFont val="Calibri (Body)_x0000_"/>
      </rPr>
      <t>P</t>
    </r>
    <r>
      <rPr>
        <sz val="11"/>
        <color theme="1"/>
        <rFont val="Calibri"/>
        <family val="2"/>
        <scheme val="minor"/>
      </rPr>
      <t xml:space="preserve">redicted </t>
    </r>
    <r>
      <rPr>
        <sz val="11"/>
        <color rgb="FFFF0000"/>
        <rFont val="Calibri (Body)_x0000_"/>
      </rPr>
      <t>W</t>
    </r>
    <r>
      <rPr>
        <sz val="11"/>
        <color theme="1"/>
        <rFont val="Calibri"/>
        <family val="2"/>
        <scheme val="minor"/>
      </rPr>
      <t xml:space="preserve">orkload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</t>
    </r>
  </si>
  <si>
    <t>index</t>
  </si>
  <si>
    <t>Relates to ….</t>
  </si>
  <si>
    <t>JONES</t>
  </si>
  <si>
    <t>BTR1</t>
  </si>
  <si>
    <t>BTF1</t>
  </si>
  <si>
    <r>
      <t xml:space="preserve">= Y if staff member is an early career Level </t>
    </r>
    <r>
      <rPr>
        <sz val="11"/>
        <color rgb="FFFF0000"/>
        <rFont val="Calibri (Body)_x0000_"/>
      </rPr>
      <t xml:space="preserve">B TR </t>
    </r>
    <r>
      <rPr>
        <sz val="11"/>
        <color theme="1"/>
        <rFont val="Calibri"/>
        <family val="2"/>
        <scheme val="minor"/>
      </rPr>
      <t xml:space="preserve">staff member in the </t>
    </r>
    <r>
      <rPr>
        <sz val="11"/>
        <color rgb="FFFF0000"/>
        <rFont val="Calibri (Body)_x0000_"/>
      </rPr>
      <t>1</t>
    </r>
    <r>
      <rPr>
        <sz val="11"/>
        <color theme="1"/>
        <rFont val="Calibri"/>
        <family val="2"/>
        <scheme val="minor"/>
      </rPr>
      <t>st year of their probationary period; = blank otherwise; formulas treat Y = 1 and blank = 0</t>
    </r>
  </si>
  <si>
    <r>
      <t xml:space="preserve">= Y if staff member is an early career Level </t>
    </r>
    <r>
      <rPr>
        <sz val="11"/>
        <color rgb="FFFF0000"/>
        <rFont val="Calibri (Body)_x0000_"/>
      </rPr>
      <t>B TF</t>
    </r>
    <r>
      <rPr>
        <sz val="11"/>
        <color theme="1"/>
        <rFont val="Calibri"/>
        <family val="2"/>
        <scheme val="minor"/>
      </rPr>
      <t xml:space="preserve"> staff member in the </t>
    </r>
    <r>
      <rPr>
        <sz val="11"/>
        <color rgb="FFFF0000"/>
        <rFont val="Calibri (Body)_x0000_"/>
      </rPr>
      <t>1</t>
    </r>
    <r>
      <rPr>
        <sz val="11"/>
        <color theme="1"/>
        <rFont val="Calibri"/>
        <family val="2"/>
        <scheme val="minor"/>
      </rPr>
      <t>st year of their probationary period; = blank otherwise; formulas treat Y = 1 and blank = 0</t>
    </r>
  </si>
  <si>
    <t>BTRP</t>
  </si>
  <si>
    <t>BTFP</t>
  </si>
  <si>
    <r>
      <t xml:space="preserve">= Y if staff member a Level </t>
    </r>
    <r>
      <rPr>
        <sz val="11"/>
        <color rgb="FFFF0000"/>
        <rFont val="Calibri (Body)_x0000_"/>
      </rPr>
      <t>B TR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_x0000_"/>
      </rPr>
      <t>P</t>
    </r>
    <r>
      <rPr>
        <sz val="11"/>
        <color theme="1"/>
        <rFont val="Calibri"/>
        <family val="2"/>
        <scheme val="minor"/>
      </rPr>
      <t>robation; = blank otherwise; formulas treat Y = 1 and blank = 0</t>
    </r>
  </si>
  <si>
    <t>CDP</t>
  </si>
  <si>
    <r>
      <t xml:space="preserve">= Y if staff member a Level </t>
    </r>
    <r>
      <rPr>
        <sz val="11"/>
        <color rgb="FFFF0000"/>
        <rFont val="Calibri (Body)_x0000_"/>
      </rPr>
      <t>B TF</t>
    </r>
    <r>
      <rPr>
        <sz val="11"/>
        <color theme="1"/>
        <rFont val="Calibri"/>
        <family val="2"/>
        <scheme val="minor"/>
      </rPr>
      <t xml:space="preserve"> staff member under Probation; = blank otherwise; formulas treat Y = 1 and blank = 0</t>
    </r>
  </si>
  <si>
    <r>
      <t xml:space="preserve">= Y if staff member a Level </t>
    </r>
    <r>
      <rPr>
        <sz val="11"/>
        <color rgb="FFFF0000"/>
        <rFont val="Calibri (Body)_x0000_"/>
      </rPr>
      <t xml:space="preserve">C or D </t>
    </r>
    <r>
      <rPr>
        <sz val="11"/>
        <color theme="1"/>
        <rFont val="Calibri"/>
        <family val="2"/>
        <scheme val="minor"/>
      </rPr>
      <t xml:space="preserve">staff member under </t>
    </r>
    <r>
      <rPr>
        <sz val="11"/>
        <color rgb="FFFF0000"/>
        <rFont val="Calibri (Body)_x0000_"/>
      </rPr>
      <t>P</t>
    </r>
    <r>
      <rPr>
        <sz val="11"/>
        <color theme="1"/>
        <rFont val="Calibri"/>
        <family val="2"/>
        <scheme val="minor"/>
      </rPr>
      <t>robation; = blank otherwise; formulas treat Y = 1 and blank = 0</t>
    </r>
  </si>
  <si>
    <t>PUBH1110</t>
  </si>
  <si>
    <t>HOS</t>
  </si>
  <si>
    <t>DU</t>
  </si>
  <si>
    <t>UQDF</t>
  </si>
  <si>
    <t>= TTH + TSH + TTMH + SWGCH</t>
  </si>
  <si>
    <t>wGC</t>
  </si>
  <si>
    <t>= SWH + wGC *172.5*WA/46</t>
  </si>
  <si>
    <r>
      <rPr>
        <sz val="11"/>
        <color rgb="FFFF0000"/>
        <rFont val="Calibri (Body)_x0000_"/>
      </rPr>
      <t>S</t>
    </r>
    <r>
      <rPr>
        <sz val="11"/>
        <color theme="1"/>
        <rFont val="Calibri"/>
        <family val="2"/>
        <scheme val="minor"/>
      </rPr>
      <t xml:space="preserve">ervice </t>
    </r>
    <r>
      <rPr>
        <sz val="11"/>
        <color rgb="FFFF0000"/>
        <rFont val="Calibri (Body)_x0000_"/>
      </rPr>
      <t>W</t>
    </r>
    <r>
      <rPr>
        <sz val="11"/>
        <color theme="1"/>
        <rFont val="Calibri"/>
        <family val="2"/>
        <scheme val="minor"/>
      </rPr>
      <t xml:space="preserve">orkload (excl. GC) measured in </t>
    </r>
    <r>
      <rPr>
        <sz val="11"/>
        <color rgb="FFFF0000"/>
        <rFont val="Calibri (Body)_x0000_"/>
      </rPr>
      <t>H</t>
    </r>
    <r>
      <rPr>
        <sz val="11"/>
        <color theme="1"/>
        <rFont val="Calibri"/>
        <family val="2"/>
        <scheme val="minor"/>
      </rPr>
      <t>ours</t>
    </r>
  </si>
  <si>
    <r>
      <t xml:space="preserve">= Y if the student has completed all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 xml:space="preserve">hD coursework and is writing the </t>
    </r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>hesis; = blank otherwise; formulas treat Y = 1 and blank = 0</t>
    </r>
  </si>
  <si>
    <r>
      <t xml:space="preserve">= Y if the student is completing a </t>
    </r>
    <r>
      <rPr>
        <sz val="11"/>
        <color rgb="FFFF0000"/>
        <rFont val="Calibri (Body)"/>
      </rPr>
      <t>M</t>
    </r>
    <r>
      <rPr>
        <sz val="11"/>
        <color theme="1"/>
        <rFont val="Calibri (Body)"/>
      </rPr>
      <t xml:space="preserve">asters </t>
    </r>
    <r>
      <rPr>
        <sz val="11"/>
        <color rgb="FFFF0000"/>
        <rFont val="Calibri (Body)"/>
      </rPr>
      <t>T</t>
    </r>
    <r>
      <rPr>
        <sz val="11"/>
        <color theme="1"/>
        <rFont val="Calibri (Body)"/>
      </rPr>
      <t>hesis;</t>
    </r>
    <r>
      <rPr>
        <sz val="11"/>
        <color theme="1"/>
        <rFont val="Calibri"/>
        <family val="2"/>
        <scheme val="minor"/>
      </rPr>
      <t xml:space="preserve"> = blank otherwise; formulas treat Y = 1 and blank = 0</t>
    </r>
  </si>
  <si>
    <t>Diversity, Inclusion and Wellness Officer</t>
  </si>
  <si>
    <t>Deputy Head of School</t>
  </si>
  <si>
    <t xml:space="preserve">Tutor &amp; PASS Selection Panel Officer </t>
  </si>
  <si>
    <t>BESC Director</t>
  </si>
  <si>
    <t>Block Credit for
46 weeks of Service</t>
  </si>
  <si>
    <t>= wCMH*min(PE,15)*AWL/WL</t>
  </si>
  <si>
    <t>= wCACH1*(OLH+OTH) + ((1-AA)*MIN(wCACH2*PE,maxCACH) + AA*MIN(wCACH3*PE,maxCACH))*AWL/WL</t>
  </si>
  <si>
    <t>if TC = Y, then TCH = (wTCH1+ wTCH2*FT )*WT*TD + (1-AA)*MIN(wTCH3*PE,maxTCH) + AA*MIN(wTCH4*PE,maxTCH); = 0 otherwise</t>
  </si>
  <si>
    <t>Admissions and International Partnerships Lead</t>
  </si>
  <si>
    <t xml:space="preserve">HDR &amp; MAE Panel Member </t>
  </si>
  <si>
    <t>PhD Colloquium Coordinator</t>
  </si>
  <si>
    <t>Workload Allocation Support Officer</t>
  </si>
  <si>
    <t>Productivity and Efficiency Analysis</t>
  </si>
  <si>
    <t>Statistics for Business &amp; Economics</t>
  </si>
  <si>
    <t>Last Year Taught by Staff Member</t>
  </si>
  <si>
    <t>Chair of Visitors Committee</t>
  </si>
  <si>
    <t>Member of Visitors Committee</t>
  </si>
  <si>
    <t>Program Leader - BEconomics</t>
  </si>
  <si>
    <t>ECON7330</t>
  </si>
  <si>
    <t>Exam Paper Approver (Lead)</t>
  </si>
  <si>
    <t>Public Finance</t>
  </si>
  <si>
    <t>Public Economics</t>
  </si>
  <si>
    <t>TP5</t>
  </si>
  <si>
    <t>Hours involved in marking an Honours or Masters thesis.</t>
  </si>
  <si>
    <t>Integrative Thinking in Health</t>
  </si>
  <si>
    <t>Introductory Statistics for Social Sciences</t>
  </si>
  <si>
    <t>Intermediate Microeconomics</t>
  </si>
  <si>
    <t>Intermediate Macroeconomics</t>
  </si>
  <si>
    <t>Behavioural Economics</t>
  </si>
  <si>
    <t>ECON2101</t>
  </si>
  <si>
    <t>Cost-Benefit Analysis</t>
  </si>
  <si>
    <t>ECON2103</t>
  </si>
  <si>
    <t>Financial Economics</t>
  </si>
  <si>
    <t>ECON2102</t>
  </si>
  <si>
    <t>ECON3380</t>
  </si>
  <si>
    <t>Practicum</t>
  </si>
  <si>
    <t>Experiments and Decision Making</t>
  </si>
  <si>
    <t>Econometric Analysis</t>
  </si>
  <si>
    <t>ECON3460</t>
  </si>
  <si>
    <t>Ethics in Economics</t>
  </si>
  <si>
    <t>ECON2105</t>
  </si>
  <si>
    <t xml:space="preserve">Queensland in July </t>
  </si>
  <si>
    <t>if CC = Y then CCH = (wCCH1 + wCCH2*NCC)*(WL*LD) + (1-AA)*MIN(wCCH3*PE,maxCCH) + AA*MIN(wCCH4*PE,maxCCH); = 0 otherwise</t>
  </si>
  <si>
    <r>
      <t>= (1 if student enrolled full-time; 0.5 otherwise)*(wPC*PC + wPT*PT + wMT</t>
    </r>
    <r>
      <rPr>
        <sz val="11"/>
        <color theme="1"/>
        <rFont val="Calibri"/>
        <family val="2"/>
      </rPr>
      <t>*MT + wHT*HT)*(Share)*(No. of Weeks)</t>
    </r>
  </si>
  <si>
    <r>
      <t>= Y if the staff member has not taught the course within the last two years (i.e. is teaching the course for the "</t>
    </r>
    <r>
      <rPr>
        <sz val="11"/>
        <color rgb="FFFF0000"/>
        <rFont val="Calibri (Body)_x0000_"/>
      </rPr>
      <t>F</t>
    </r>
    <r>
      <rPr>
        <sz val="11"/>
        <color theme="1"/>
        <rFont val="Calibri"/>
        <family val="2"/>
        <scheme val="minor"/>
      </rPr>
      <t xml:space="preserve">irst </t>
    </r>
    <r>
      <rPr>
        <sz val="11"/>
        <color rgb="FFFF0000"/>
        <rFont val="Calibri (Body)"/>
      </rPr>
      <t>T</t>
    </r>
    <r>
      <rPr>
        <sz val="11"/>
        <color theme="1"/>
        <rFont val="Calibri"/>
        <family val="2"/>
        <scheme val="minor"/>
      </rPr>
      <t>ime"); = blank otherwise; formulas treat Y = 1 and blank = 0</t>
    </r>
  </si>
  <si>
    <r>
      <t xml:space="preserve">= Y if the student is completing an </t>
    </r>
    <r>
      <rPr>
        <sz val="11"/>
        <color rgb="FFFF0000"/>
        <rFont val="Calibri (Body)"/>
      </rPr>
      <t>H</t>
    </r>
    <r>
      <rPr>
        <sz val="11"/>
        <color theme="1"/>
        <rFont val="Calibri (Body)"/>
      </rPr>
      <t xml:space="preserve">onours </t>
    </r>
    <r>
      <rPr>
        <sz val="11"/>
        <color rgb="FFFF0000"/>
        <rFont val="Calibri (Body)"/>
      </rPr>
      <t>T</t>
    </r>
    <r>
      <rPr>
        <sz val="11"/>
        <color theme="1"/>
        <rFont val="Calibri (Body)"/>
      </rPr>
      <t>hesis;</t>
    </r>
    <r>
      <rPr>
        <sz val="11"/>
        <color theme="1"/>
        <rFont val="Calibri"/>
        <family val="2"/>
        <scheme val="minor"/>
      </rPr>
      <t xml:space="preserve"> = blank otherwise; formulas treat Y = 1 and blank = 0</t>
    </r>
  </si>
  <si>
    <t>Hours of course co-ordination per original lecture hour.</t>
  </si>
  <si>
    <t>Extra hours of course co-ordination per original lecture hour for each co-badged course</t>
  </si>
  <si>
    <t>Hours involved in marking all the assessment for one student (per course)</t>
  </si>
  <si>
    <r>
      <t xml:space="preserve">No. of </t>
    </r>
    <r>
      <rPr>
        <sz val="11"/>
        <color rgb="FFFF0000"/>
        <rFont val="Calibri (Body)_x0000_"/>
      </rPr>
      <t>W</t>
    </r>
    <r>
      <rPr>
        <sz val="11"/>
        <color theme="1"/>
        <rFont val="Calibri"/>
        <family val="2"/>
        <scheme val="minor"/>
      </rPr>
      <t xml:space="preserve">eeks a T&amp;R or TF staff member is </t>
    </r>
    <r>
      <rPr>
        <sz val="11"/>
        <color rgb="FFFF0000"/>
        <rFont val="Calibri (Body)_x0000_"/>
      </rPr>
      <t>A</t>
    </r>
    <r>
      <rPr>
        <sz val="11"/>
        <color theme="1"/>
        <rFont val="Calibri"/>
        <family val="2"/>
        <scheme val="minor"/>
      </rPr>
      <t>vailable for teaching, supervision and service; = 46 - (no. of weeks unavailable because of teaching buyouts, SSP and other approved leave); blank for other appointment types</t>
    </r>
  </si>
  <si>
    <t>= (OLH+RLH+OTH+RTH)+(CCH+TCH+LPH+TPH+APH+CMH+CACH)</t>
  </si>
  <si>
    <t>= (wAPH1+wAPH2*FT+wAPH3*NCC)*AWL/WL</t>
  </si>
  <si>
    <t>Notes</t>
  </si>
  <si>
    <t>YU</t>
  </si>
  <si>
    <t>LA NAUZE</t>
  </si>
  <si>
    <t>BONNER</t>
  </si>
  <si>
    <t>PE = Predicted Enrolment</t>
  </si>
  <si>
    <t>Aarushi</t>
  </si>
  <si>
    <t>Hoye</t>
  </si>
  <si>
    <t>Kim</t>
  </si>
  <si>
    <t>Leung</t>
  </si>
  <si>
    <t>Ryan</t>
  </si>
  <si>
    <t>Kijjanapanich</t>
  </si>
  <si>
    <t>Pimwilai</t>
  </si>
  <si>
    <t>Bubb</t>
  </si>
  <si>
    <t>Alicia</t>
  </si>
  <si>
    <t>Carrasco</t>
  </si>
  <si>
    <t>Diego</t>
  </si>
  <si>
    <t>Chaudhuri</t>
  </si>
  <si>
    <t>Salonkara</t>
  </si>
  <si>
    <t>Kalay</t>
  </si>
  <si>
    <t>Ali Furkan</t>
  </si>
  <si>
    <t>Mather</t>
  </si>
  <si>
    <t>Kopal</t>
  </si>
  <si>
    <t>Shadforth</t>
  </si>
  <si>
    <t>Christopher</t>
  </si>
  <si>
    <t>Tuzel</t>
  </si>
  <si>
    <t>Elcin</t>
  </si>
  <si>
    <t>Ying</t>
  </si>
  <si>
    <t>Ni</t>
  </si>
  <si>
    <t>Zhang</t>
  </si>
  <si>
    <t>Yi</t>
  </si>
  <si>
    <t>Tong</t>
  </si>
  <si>
    <t>Yumeng</t>
  </si>
  <si>
    <t>Wang</t>
  </si>
  <si>
    <t>Zhichao</t>
  </si>
  <si>
    <t>Gunawardena</t>
  </si>
  <si>
    <t>Bhagya</t>
  </si>
  <si>
    <t>Hinkelmann</t>
  </si>
  <si>
    <t>Stefan</t>
  </si>
  <si>
    <t>Liu</t>
  </si>
  <si>
    <t>Yuqing</t>
  </si>
  <si>
    <t>Ludlow</t>
  </si>
  <si>
    <t>Timothy</t>
  </si>
  <si>
    <t>Nguyen</t>
  </si>
  <si>
    <t>Hong Ngoc</t>
  </si>
  <si>
    <t>Bao Haong</t>
  </si>
  <si>
    <t>Li</t>
  </si>
  <si>
    <t>Junqian</t>
  </si>
  <si>
    <t>Heng</t>
  </si>
  <si>
    <t>Zin Yau</t>
  </si>
  <si>
    <t>Tran</t>
  </si>
  <si>
    <t>Kieu My</t>
  </si>
  <si>
    <t>Cumpston</t>
  </si>
  <si>
    <t>Anne</t>
  </si>
  <si>
    <t>Lenzen</t>
  </si>
  <si>
    <t>Sabrina</t>
  </si>
  <si>
    <t>Thi Thao</t>
  </si>
  <si>
    <t>Cameron</t>
  </si>
  <si>
    <t>Alexander</t>
  </si>
  <si>
    <t>First name</t>
  </si>
  <si>
    <t>Last name</t>
  </si>
  <si>
    <t>Duenow</t>
  </si>
  <si>
    <t>Patrick</t>
  </si>
  <si>
    <t>Wu</t>
  </si>
  <si>
    <t>Gin</t>
  </si>
  <si>
    <t>Bora</t>
  </si>
  <si>
    <t>Ramazan</t>
  </si>
  <si>
    <t>PhD applicant</t>
  </si>
  <si>
    <t>TYPE</t>
  </si>
  <si>
    <r>
      <rPr>
        <sz val="11"/>
        <color theme="1"/>
        <rFont val="Calibri (Body)_x0000_"/>
      </rPr>
      <t>A</t>
    </r>
    <r>
      <rPr>
        <sz val="11"/>
        <color theme="1"/>
        <rFont val="Calibri"/>
        <family val="2"/>
        <scheme val="minor"/>
      </rPr>
      <t xml:space="preserve">ppointment </t>
    </r>
    <r>
      <rPr>
        <sz val="11"/>
        <color rgb="FFFF0000"/>
        <rFont val="Calibri (Body)_x0000_"/>
      </rPr>
      <t>T</t>
    </r>
    <r>
      <rPr>
        <sz val="11"/>
        <color rgb="FFFF0000"/>
        <rFont val="Calibri"/>
        <family val="2"/>
        <scheme val="minor"/>
      </rPr>
      <t>ype</t>
    </r>
    <r>
      <rPr>
        <sz val="11"/>
        <color theme="1"/>
        <rFont val="Calibri"/>
        <family val="2"/>
        <scheme val="minor"/>
      </rPr>
      <t xml:space="preserve"> (TR = teaching and research; TF = teaching focused; RF = research fellow; CAS = casual etc.)</t>
    </r>
  </si>
  <si>
    <t>TYPE = Apointment Type</t>
  </si>
  <si>
    <t>Deputy Director of Research and Impact Officer</t>
  </si>
  <si>
    <t>Tutor &amp; PASS Selection Panel Officer</t>
  </si>
  <si>
    <t>Program Leader - other Masters programs</t>
  </si>
  <si>
    <t>Program Leader - MIEF</t>
  </si>
  <si>
    <t>Exam Paper Approver (Support)</t>
  </si>
  <si>
    <t>Member BEL LNR Ethics Committee</t>
  </si>
  <si>
    <t>Executive Committee Rep - Level D</t>
  </si>
  <si>
    <t>PC = Completing PhD Coursework</t>
  </si>
  <si>
    <t>PT = Writing PhD Thesis</t>
  </si>
  <si>
    <t>HT = Writing Honours Thesis</t>
  </si>
  <si>
    <t>Program Rep - BA Economics Major &amp; BEcon/BArts</t>
  </si>
  <si>
    <t>LE NAUZE</t>
  </si>
  <si>
    <t>Project Advisor - S2</t>
  </si>
  <si>
    <t>Dual Degrees Coordinator with BEcon</t>
  </si>
  <si>
    <t>ISLER</t>
  </si>
  <si>
    <t>Program Leader - Honours</t>
  </si>
  <si>
    <t>HDR and MAE Coordinator</t>
  </si>
  <si>
    <t>Undergraduate Coordinator &amp; Deputy Director of Education</t>
  </si>
  <si>
    <t>3</t>
  </si>
  <si>
    <t>5</t>
  </si>
  <si>
    <t>ETR</t>
  </si>
  <si>
    <t>STR</t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</si>
  <si>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"/>
        <family val="2"/>
        <scheme val="minor"/>
      </rPr>
      <t xml:space="preserve">ervice workload for a confirmed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working 46 weeks, measured in blocks</t>
    </r>
  </si>
  <si>
    <r>
      <t xml:space="preserve">Lower and upper bounds on </t>
    </r>
    <r>
      <rPr>
        <sz val="11"/>
        <color rgb="FFFF0000"/>
        <rFont val="Calibri (Body)"/>
      </rPr>
      <t>E</t>
    </r>
    <r>
      <rPr>
        <sz val="11"/>
        <color theme="1"/>
        <rFont val="Calibri"/>
        <family val="2"/>
        <scheme val="minor"/>
      </rPr>
      <t xml:space="preserve">ducation workload for a confirmed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working 46 weeks, measured in blocks</t>
    </r>
  </si>
  <si>
    <t>ETF</t>
  </si>
  <si>
    <t>STF</t>
  </si>
  <si>
    <r>
      <t xml:space="preserve">Lower and upper bounds on </t>
    </r>
    <r>
      <rPr>
        <sz val="11"/>
        <color rgb="FFFF0000"/>
        <rFont val="Calibri (Body)"/>
      </rPr>
      <t>E</t>
    </r>
    <r>
      <rPr>
        <sz val="11"/>
        <color theme="1"/>
        <rFont val="Calibri"/>
        <family val="2"/>
        <scheme val="minor"/>
      </rPr>
      <t xml:space="preserve">ducation workload for a confirmed </t>
    </r>
    <r>
      <rPr>
        <sz val="11"/>
        <color rgb="FFFF0000"/>
        <rFont val="Calibri (Body)"/>
      </rPr>
      <t>TF</t>
    </r>
    <r>
      <rPr>
        <sz val="11"/>
        <color theme="1"/>
        <rFont val="Calibri"/>
        <family val="2"/>
        <scheme val="minor"/>
      </rPr>
      <t xml:space="preserve"> staff member working 46 weeks, measured in blocks</t>
    </r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</si>
  <si>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"/>
        <family val="2"/>
        <scheme val="minor"/>
      </rPr>
      <t xml:space="preserve">ervice workload for a confirmed </t>
    </r>
    <r>
      <rPr>
        <sz val="11"/>
        <color rgb="FFFF0000"/>
        <rFont val="Calibri (Body)"/>
      </rPr>
      <t>TF</t>
    </r>
    <r>
      <rPr>
        <sz val="11"/>
        <color theme="1"/>
        <rFont val="Calibri"/>
        <family val="2"/>
        <scheme val="minor"/>
      </rPr>
      <t xml:space="preserve"> staff member working 46 weeks, measured in blocks</t>
    </r>
  </si>
  <si>
    <t>4</t>
  </si>
  <si>
    <t>7</t>
  </si>
  <si>
    <t>EBTR1</t>
  </si>
  <si>
    <t>SBTR1</t>
  </si>
  <si>
    <t>EBTF1</t>
  </si>
  <si>
    <t>SBTF1</t>
  </si>
  <si>
    <r>
      <t xml:space="preserve">Lower and upper bounds on </t>
    </r>
    <r>
      <rPr>
        <sz val="11"/>
        <color rgb="FFFF0000"/>
        <rFont val="Calibri (Body)"/>
      </rPr>
      <t>E</t>
    </r>
    <r>
      <rPr>
        <sz val="11"/>
        <color theme="1"/>
        <rFont val="Calibri"/>
        <family val="2"/>
        <scheme val="minor"/>
      </rPr>
      <t xml:space="preserve">ducation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in the </t>
    </r>
    <r>
      <rPr>
        <sz val="11"/>
        <color rgb="FFFF0000"/>
        <rFont val="Calibri (Body)"/>
      </rPr>
      <t>1</t>
    </r>
    <r>
      <rPr>
        <sz val="11"/>
        <color theme="1"/>
        <rFont val="Calibri"/>
        <family val="2"/>
        <scheme val="minor"/>
      </rPr>
      <t>st year of their probation working 46 weeks, measured in blocks</t>
    </r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</si>
  <si>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 (Body)"/>
      </rPr>
      <t>ervice</t>
    </r>
    <r>
      <rPr>
        <sz val="11"/>
        <color theme="1"/>
        <rFont val="Calibri"/>
        <family val="2"/>
        <scheme val="minor"/>
      </rPr>
      <t xml:space="preserve">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in the </t>
    </r>
    <r>
      <rPr>
        <sz val="11"/>
        <color rgb="FFFF0000"/>
        <rFont val="Calibri (Body)"/>
      </rPr>
      <t>1</t>
    </r>
    <r>
      <rPr>
        <sz val="11"/>
        <color theme="1"/>
        <rFont val="Calibri"/>
        <family val="2"/>
        <scheme val="minor"/>
      </rPr>
      <t>st year of their probation working 46 weeks, measured in blocks</t>
    </r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</si>
  <si>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 (Body)"/>
      </rPr>
      <t>ervice</t>
    </r>
    <r>
      <rPr>
        <sz val="11"/>
        <color theme="1"/>
        <rFont val="Calibri"/>
        <family val="2"/>
        <scheme val="minor"/>
      </rPr>
      <t xml:space="preserve">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TF</t>
    </r>
    <r>
      <rPr>
        <sz val="11"/>
        <color theme="1"/>
        <rFont val="Calibri"/>
        <family val="2"/>
        <scheme val="minor"/>
      </rPr>
      <t xml:space="preserve"> staff member in the </t>
    </r>
    <r>
      <rPr>
        <sz val="11"/>
        <color rgb="FFFF0000"/>
        <rFont val="Calibri (Body)"/>
      </rPr>
      <t>1</t>
    </r>
    <r>
      <rPr>
        <sz val="11"/>
        <color theme="1"/>
        <rFont val="Calibri"/>
        <family val="2"/>
        <scheme val="minor"/>
      </rPr>
      <t>st year of their probation working 46 weeks, measured in blocks</t>
    </r>
  </si>
  <si>
    <t>EBTRP</t>
  </si>
  <si>
    <r>
      <t xml:space="preserve">Lower and upper bounds on </t>
    </r>
    <r>
      <rPr>
        <sz val="11"/>
        <color rgb="FFFF0000"/>
        <rFont val="Calibri (Body)"/>
      </rPr>
      <t>E</t>
    </r>
    <r>
      <rPr>
        <sz val="11"/>
        <color theme="1"/>
        <rFont val="Calibri"/>
        <family val="2"/>
        <scheme val="minor"/>
      </rPr>
      <t xml:space="preserve">ducation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>robation (after year 1) working 46 weeks, measured in blocks</t>
    </r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</si>
  <si>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 (Body)"/>
      </rPr>
      <t>ervice</t>
    </r>
    <r>
      <rPr>
        <sz val="11"/>
        <color theme="1"/>
        <rFont val="Calibri"/>
        <family val="2"/>
        <scheme val="minor"/>
      </rPr>
      <t xml:space="preserve">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>robation (after year 1) working 46 weeks, measured in blocks</t>
    </r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</si>
  <si>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 (Body)"/>
      </rPr>
      <t>ervice</t>
    </r>
    <r>
      <rPr>
        <sz val="11"/>
        <color theme="1"/>
        <rFont val="Calibri"/>
        <family val="2"/>
        <scheme val="minor"/>
      </rPr>
      <t xml:space="preserve">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TF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>robation (after year 1) working 46 weeks, measured in blocks</t>
    </r>
  </si>
  <si>
    <t>SBTRP</t>
  </si>
  <si>
    <t>EBTFP</t>
  </si>
  <si>
    <t>SBTFP</t>
  </si>
  <si>
    <r>
      <t xml:space="preserve">Lower and upper bounds on </t>
    </r>
    <r>
      <rPr>
        <sz val="11"/>
        <color rgb="FFFF0000"/>
        <rFont val="Calibri (Body)"/>
      </rPr>
      <t>E</t>
    </r>
    <r>
      <rPr>
        <sz val="11"/>
        <color theme="1"/>
        <rFont val="Calibri"/>
        <family val="2"/>
        <scheme val="minor"/>
      </rPr>
      <t xml:space="preserve">ducation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TF</t>
    </r>
    <r>
      <rPr>
        <sz val="11"/>
        <color theme="1"/>
        <rFont val="Calibri"/>
        <family val="2"/>
        <scheme val="minor"/>
      </rPr>
      <t xml:space="preserve"> staff member in the </t>
    </r>
    <r>
      <rPr>
        <sz val="11"/>
        <color rgb="FFFF0000"/>
        <rFont val="Calibri (Body)"/>
      </rPr>
      <t>1</t>
    </r>
    <r>
      <rPr>
        <sz val="11"/>
        <color theme="1"/>
        <rFont val="Calibri"/>
        <family val="2"/>
        <scheme val="minor"/>
      </rPr>
      <t>st year of their probation working 46 weeks, measured in blocks</t>
    </r>
  </si>
  <si>
    <r>
      <t xml:space="preserve">Lower and upper bounds on </t>
    </r>
    <r>
      <rPr>
        <sz val="11"/>
        <color rgb="FFFF0000"/>
        <rFont val="Calibri (Body)"/>
      </rPr>
      <t>E</t>
    </r>
    <r>
      <rPr>
        <sz val="11"/>
        <color theme="1"/>
        <rFont val="Calibri"/>
        <family val="2"/>
        <scheme val="minor"/>
      </rPr>
      <t xml:space="preserve">ducation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TF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>robation (after year 1) working 46 weeks, measured in blocks</t>
    </r>
  </si>
  <si>
    <t>1.6</t>
  </si>
  <si>
    <t>3.6</t>
  </si>
  <si>
    <t>1.25</t>
  </si>
  <si>
    <t>3.3</t>
  </si>
  <si>
    <t>6.3</t>
  </si>
  <si>
    <t>0.5</t>
  </si>
  <si>
    <t>2.5</t>
  </si>
  <si>
    <t>ECDTRP</t>
  </si>
  <si>
    <t>SCDTRP</t>
  </si>
  <si>
    <r>
      <t xml:space="preserve">Lower and upper bounds on </t>
    </r>
    <r>
      <rPr>
        <sz val="11"/>
        <color rgb="FFFF0000"/>
        <rFont val="Calibri (Body)"/>
      </rPr>
      <t>E</t>
    </r>
    <r>
      <rPr>
        <sz val="11"/>
        <color theme="1"/>
        <rFont val="Calibri"/>
        <family val="2"/>
        <scheme val="minor"/>
      </rPr>
      <t xml:space="preserve">ducation workload for a Level </t>
    </r>
    <r>
      <rPr>
        <sz val="11"/>
        <color rgb="FFFF0000"/>
        <rFont val="Calibri (Body)"/>
      </rPr>
      <t xml:space="preserve">C </t>
    </r>
    <r>
      <rPr>
        <sz val="11"/>
        <color theme="1"/>
        <rFont val="Calibri (Body)"/>
      </rPr>
      <t>or</t>
    </r>
    <r>
      <rPr>
        <sz val="11"/>
        <color rgb="FFFF0000"/>
        <rFont val="Calibri (Body)"/>
      </rPr>
      <t xml:space="preserve"> 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>robation working 46 weeks, measured in blocks</t>
    </r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</si>
  <si>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"/>
        <family val="2"/>
        <scheme val="minor"/>
      </rPr>
      <t xml:space="preserve">ervice workload for a Level </t>
    </r>
    <r>
      <rPr>
        <sz val="11"/>
        <color rgb="FFFF0000"/>
        <rFont val="Calibri (Body)"/>
      </rPr>
      <t xml:space="preserve">C </t>
    </r>
    <r>
      <rPr>
        <sz val="11"/>
        <color theme="1"/>
        <rFont val="Calibri (Body)"/>
      </rPr>
      <t>or</t>
    </r>
    <r>
      <rPr>
        <sz val="11"/>
        <color rgb="FFFF0000"/>
        <rFont val="Calibri (Body)"/>
      </rPr>
      <t xml:space="preserve"> 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>robation working 46 weeks, measured in blocks</t>
    </r>
  </si>
  <si>
    <t>= wTM*TM</t>
  </si>
  <si>
    <t>= THMH/172.5 rounded to 2 decimal places</t>
  </si>
  <si>
    <t>CDTRP = Level C or D TR Under Probation</t>
  </si>
  <si>
    <t>TTH = Total Teaching Hours</t>
  </si>
  <si>
    <t>TSH = Total Supervision Hours</t>
  </si>
  <si>
    <t>TTMH = Total Thesis Marking Hours</t>
  </si>
  <si>
    <t>TWB = Total Workload Blocks</t>
  </si>
  <si>
    <t>TWH = Total Workload Hours</t>
  </si>
  <si>
    <t>SGCB = Service &amp; GC Blocks</t>
  </si>
  <si>
    <t>SGCH = Service &amp; GC Hours</t>
  </si>
  <si>
    <t>TWB Lower Bound</t>
  </si>
  <si>
    <t>TWB Upper Bound</t>
  </si>
  <si>
    <t>SGCB Lower Bound</t>
  </si>
  <si>
    <t>SGCB Upper Bound</t>
  </si>
  <si>
    <t>BTR1 = Level B TR in Yr 1 of Probation</t>
  </si>
  <si>
    <t>BTRP = Level B TR Under Probation &gt; Yr 1</t>
  </si>
  <si>
    <t>BTF1 = Level B TF in Yr 1 of Probation</t>
  </si>
  <si>
    <t>BTFP = Level B TF Under Probation &gt; Yr 1</t>
  </si>
  <si>
    <t>RTR</t>
  </si>
  <si>
    <r>
      <t xml:space="preserve">Lower and upper bounds on </t>
    </r>
    <r>
      <rPr>
        <sz val="11"/>
        <color rgb="FFFF0000"/>
        <rFont val="Calibri (Body)"/>
      </rPr>
      <t>R</t>
    </r>
    <r>
      <rPr>
        <sz val="11"/>
        <color theme="1"/>
        <rFont val="Calibri (Body)"/>
      </rPr>
      <t>esearch</t>
    </r>
    <r>
      <rPr>
        <sz val="11"/>
        <color theme="1"/>
        <rFont val="Calibri"/>
        <family val="2"/>
        <scheme val="minor"/>
      </rPr>
      <t xml:space="preserve"> workload for a confirmed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working 46 weeks, measured in blocks</t>
    </r>
  </si>
  <si>
    <t>RBTR1</t>
  </si>
  <si>
    <r>
      <t xml:space="preserve">Lower and upper bounds on </t>
    </r>
    <r>
      <rPr>
        <sz val="11"/>
        <color rgb="FFFF0000"/>
        <rFont val="Calibri (Body)"/>
      </rPr>
      <t>R</t>
    </r>
    <r>
      <rPr>
        <sz val="11"/>
        <color theme="1"/>
        <rFont val="Calibri (Body)"/>
      </rPr>
      <t>esearch</t>
    </r>
    <r>
      <rPr>
        <sz val="11"/>
        <color theme="1"/>
        <rFont val="Calibri"/>
        <family val="2"/>
        <scheme val="minor"/>
      </rPr>
      <t xml:space="preserve">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in the </t>
    </r>
    <r>
      <rPr>
        <sz val="11"/>
        <color rgb="FFFF0000"/>
        <rFont val="Calibri (Body)"/>
      </rPr>
      <t>1</t>
    </r>
    <r>
      <rPr>
        <sz val="11"/>
        <color theme="1"/>
        <rFont val="Calibri"/>
        <family val="2"/>
        <scheme val="minor"/>
      </rPr>
      <t>st year of their probation working 46 weeks, measured in blocks</t>
    </r>
  </si>
  <si>
    <t>RBTRP</t>
  </si>
  <si>
    <r>
      <t xml:space="preserve">Lower and upper bounds on </t>
    </r>
    <r>
      <rPr>
        <sz val="11"/>
        <color rgb="FFFF0000"/>
        <rFont val="Calibri (Body)"/>
      </rPr>
      <t>R</t>
    </r>
    <r>
      <rPr>
        <sz val="11"/>
        <color theme="1"/>
        <rFont val="Calibri (Body)"/>
      </rPr>
      <t>esearch</t>
    </r>
    <r>
      <rPr>
        <sz val="11"/>
        <color theme="1"/>
        <rFont val="Calibri"/>
        <family val="2"/>
        <scheme val="minor"/>
      </rPr>
      <t xml:space="preserve">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>robation (after year 1) working 46 weeks, measured in blocks</t>
    </r>
  </si>
  <si>
    <t>STLBTF1</t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</si>
  <si>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 (Body)"/>
      </rPr>
      <t>cholarship</t>
    </r>
    <r>
      <rPr>
        <sz val="11"/>
        <color rgb="FFFF0000"/>
        <rFont val="Calibri (Body)"/>
      </rPr>
      <t xml:space="preserve"> </t>
    </r>
    <r>
      <rPr>
        <sz val="11"/>
        <color theme="1"/>
        <rFont val="Calibri (Body)"/>
      </rPr>
      <t>of</t>
    </r>
    <r>
      <rPr>
        <sz val="11"/>
        <color rgb="FFFF0000"/>
        <rFont val="Calibri (Body)"/>
      </rPr>
      <t xml:space="preserve"> T</t>
    </r>
    <r>
      <rPr>
        <sz val="11"/>
        <color theme="1"/>
        <rFont val="Calibri (Body)"/>
      </rPr>
      <t>eaching</t>
    </r>
    <r>
      <rPr>
        <sz val="11"/>
        <color rgb="FFFF0000"/>
        <rFont val="Calibri (Body)"/>
      </rPr>
      <t xml:space="preserve"> </t>
    </r>
    <r>
      <rPr>
        <sz val="11"/>
        <color theme="1"/>
        <rFont val="Calibri (Body)"/>
      </rPr>
      <t>and</t>
    </r>
    <r>
      <rPr>
        <sz val="11"/>
        <color rgb="FFFF0000"/>
        <rFont val="Calibri (Body)"/>
      </rPr>
      <t xml:space="preserve"> L</t>
    </r>
    <r>
      <rPr>
        <sz val="11"/>
        <color theme="1"/>
        <rFont val="Calibri (Body)"/>
      </rPr>
      <t>earning</t>
    </r>
    <r>
      <rPr>
        <sz val="11"/>
        <color theme="1"/>
        <rFont val="Calibri"/>
        <family val="2"/>
        <scheme val="minor"/>
      </rPr>
      <t xml:space="preserve">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TF</t>
    </r>
    <r>
      <rPr>
        <sz val="11"/>
        <color theme="1"/>
        <rFont val="Calibri"/>
        <family val="2"/>
        <scheme val="minor"/>
      </rPr>
      <t xml:space="preserve"> staff member in the </t>
    </r>
    <r>
      <rPr>
        <sz val="11"/>
        <color rgb="FFFF0000"/>
        <rFont val="Calibri (Body)"/>
      </rPr>
      <t>1</t>
    </r>
    <r>
      <rPr>
        <sz val="11"/>
        <color theme="1"/>
        <rFont val="Calibri"/>
        <family val="2"/>
        <scheme val="minor"/>
      </rPr>
      <t>st year of their probation working 46 weeks, measured in blocks</t>
    </r>
  </si>
  <si>
    <t>STLBTFP</t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</si>
  <si>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 (Body)"/>
      </rPr>
      <t xml:space="preserve">cholarhip of </t>
    </r>
    <r>
      <rPr>
        <sz val="11"/>
        <color rgb="FFFF0000"/>
        <rFont val="Calibri (Body)"/>
      </rPr>
      <t>T</t>
    </r>
    <r>
      <rPr>
        <sz val="11"/>
        <color theme="1"/>
        <rFont val="Calibri (Body)"/>
      </rPr>
      <t xml:space="preserve">eaching and </t>
    </r>
    <r>
      <rPr>
        <sz val="11"/>
        <color rgb="FFFF0000"/>
        <rFont val="Calibri (Body)"/>
      </rPr>
      <t>L</t>
    </r>
    <r>
      <rPr>
        <sz val="11"/>
        <color theme="1"/>
        <rFont val="Calibri (Body)"/>
      </rPr>
      <t>earning</t>
    </r>
    <r>
      <rPr>
        <sz val="11"/>
        <color theme="1"/>
        <rFont val="Calibri"/>
        <family val="2"/>
        <scheme val="minor"/>
      </rPr>
      <t xml:space="preserve"> workload for a Level </t>
    </r>
    <r>
      <rPr>
        <sz val="11"/>
        <color rgb="FFFF0000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TF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>robation (after year 1) working 46 weeks, measured in blocks</t>
    </r>
  </si>
  <si>
    <t>RCDTRP</t>
  </si>
  <si>
    <r>
      <t xml:space="preserve">Lower and upper bounds on </t>
    </r>
    <r>
      <rPr>
        <sz val="11"/>
        <color rgb="FFFF0000"/>
        <rFont val="Calibri (Body)"/>
      </rPr>
      <t>R</t>
    </r>
    <r>
      <rPr>
        <sz val="11"/>
        <color theme="1"/>
        <rFont val="Calibri (Body)"/>
      </rPr>
      <t>esearch</t>
    </r>
    <r>
      <rPr>
        <sz val="11"/>
        <color theme="1"/>
        <rFont val="Calibri"/>
        <family val="2"/>
        <scheme val="minor"/>
      </rPr>
      <t xml:space="preserve"> workload for a Level </t>
    </r>
    <r>
      <rPr>
        <sz val="11"/>
        <color rgb="FFFF0000"/>
        <rFont val="Calibri (Body)"/>
      </rPr>
      <t xml:space="preserve">C </t>
    </r>
    <r>
      <rPr>
        <sz val="11"/>
        <color theme="1"/>
        <rFont val="Calibri (Body)"/>
      </rPr>
      <t>or</t>
    </r>
    <r>
      <rPr>
        <sz val="11"/>
        <color rgb="FFFF0000"/>
        <rFont val="Calibri (Body)"/>
      </rPr>
      <t xml:space="preserve"> 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"/>
      </rPr>
      <t>TR</t>
    </r>
    <r>
      <rPr>
        <sz val="11"/>
        <color theme="1"/>
        <rFont val="Calibri"/>
        <family val="2"/>
        <scheme val="minor"/>
      </rPr>
      <t xml:space="preserve"> staff member under </t>
    </r>
    <r>
      <rPr>
        <sz val="11"/>
        <color rgb="FFFF0000"/>
        <rFont val="Calibri (Body)"/>
      </rPr>
      <t>P</t>
    </r>
    <r>
      <rPr>
        <sz val="11"/>
        <color theme="1"/>
        <rFont val="Calibri"/>
        <family val="2"/>
        <scheme val="minor"/>
      </rPr>
      <t>robation working 46 weeks, measured in blocks</t>
    </r>
  </si>
  <si>
    <t>5.15</t>
  </si>
  <si>
    <t>7.15</t>
  </si>
  <si>
    <t>3.75</t>
  </si>
  <si>
    <t>5.75</t>
  </si>
  <si>
    <t>3.2</t>
  </si>
  <si>
    <t>6.2</t>
  </si>
  <si>
    <t>5.5</t>
  </si>
  <si>
    <t>3.5</t>
  </si>
  <si>
    <t>STLTF</t>
  </si>
  <si>
    <r>
      <t xml:space="preserve">Lower and upper bounds on </t>
    </r>
    <r>
      <rPr>
        <sz val="11"/>
        <color rgb="FFFF0000"/>
        <rFont val="Calibri (Body)"/>
      </rPr>
      <t>S</t>
    </r>
    <r>
      <rPr>
        <sz val="11"/>
        <color theme="1"/>
        <rFont val="Calibri (Body)"/>
      </rPr>
      <t xml:space="preserve">cholarship of </t>
    </r>
    <r>
      <rPr>
        <sz val="11"/>
        <color rgb="FFFF0000"/>
        <rFont val="Calibri (Body)"/>
      </rPr>
      <t>T</t>
    </r>
    <r>
      <rPr>
        <sz val="11"/>
        <color theme="1"/>
        <rFont val="Calibri (Body)"/>
      </rPr>
      <t xml:space="preserve">eaching and </t>
    </r>
    <r>
      <rPr>
        <sz val="11"/>
        <color rgb="FFFF0000"/>
        <rFont val="Calibri (Body)"/>
      </rPr>
      <t>L</t>
    </r>
    <r>
      <rPr>
        <sz val="11"/>
        <color theme="1"/>
        <rFont val="Calibri (Body)"/>
      </rPr>
      <t>earning</t>
    </r>
    <r>
      <rPr>
        <sz val="11"/>
        <color theme="1"/>
        <rFont val="Calibri"/>
        <family val="2"/>
        <scheme val="minor"/>
      </rPr>
      <t xml:space="preserve"> workload for a confirmed </t>
    </r>
    <r>
      <rPr>
        <sz val="11"/>
        <color rgb="FFFF0000"/>
        <rFont val="Calibri (Body)"/>
      </rPr>
      <t>TF</t>
    </r>
    <r>
      <rPr>
        <sz val="11"/>
        <color theme="1"/>
        <rFont val="Calibri"/>
        <family val="2"/>
        <scheme val="minor"/>
      </rPr>
      <t xml:space="preserve"> staff member working 46 weeks, measured in blocks</t>
    </r>
  </si>
  <si>
    <t>Average TWB - 0.5</t>
  </si>
  <si>
    <t>Average TWB + 0.5</t>
  </si>
  <si>
    <t>EB = Education Blocks</t>
  </si>
  <si>
    <t>TMB = Thesis Marking Blocks</t>
  </si>
  <si>
    <t>SB = Supervision Blocks</t>
  </si>
  <si>
    <t>TB = Teaching Blocks</t>
  </si>
  <si>
    <t>EB Lower Bound</t>
  </si>
  <si>
    <t>EB Upper Bound</t>
  </si>
  <si>
    <t>NORMALISED AVERAGE = 46 x simple average / average weeks available</t>
  </si>
  <si>
    <t>No. Students Taught</t>
  </si>
  <si>
    <t>F: Average TF / Average TR</t>
  </si>
  <si>
    <r>
      <rPr>
        <sz val="11"/>
        <color rgb="FFFF0000"/>
        <rFont val="Calibri (Body)_x0000_"/>
      </rPr>
      <t>T</t>
    </r>
    <r>
      <rPr>
        <sz val="11"/>
        <color theme="1"/>
        <rFont val="Calibri (Body)_x0000_"/>
      </rPr>
      <t>otal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 (Body)_x0000_"/>
      </rPr>
      <t>W</t>
    </r>
    <r>
      <rPr>
        <sz val="11"/>
        <color theme="1"/>
        <rFont val="Calibri"/>
        <family val="2"/>
        <scheme val="minor"/>
      </rPr>
      <t xml:space="preserve">orkload </t>
    </r>
    <r>
      <rPr>
        <sz val="11"/>
        <color rgb="FFFF0000"/>
        <rFont val="Calibri (Body)_x0000_"/>
      </rPr>
      <t>B</t>
    </r>
    <r>
      <rPr>
        <sz val="11"/>
        <color theme="1"/>
        <rFont val="Calibri"/>
        <family val="2"/>
        <scheme val="minor"/>
      </rPr>
      <t>locks</t>
    </r>
  </si>
  <si>
    <t>HDR &amp; MAE Panel Member - S2</t>
  </si>
  <si>
    <t>HDR &amp; MAE Panel Member - S1</t>
  </si>
  <si>
    <r>
      <t xml:space="preserve">= blank, 0.5 or 1 to indicate the extent to which a course is (equivalent to) a new </t>
    </r>
    <r>
      <rPr>
        <sz val="11"/>
        <color rgb="FFFF0000"/>
        <rFont val="Calibri (Body)"/>
      </rPr>
      <t>UQ2U</t>
    </r>
    <r>
      <rPr>
        <sz val="11"/>
        <color theme="1"/>
        <rFont val="Calibri"/>
        <family val="2"/>
        <scheme val="minor"/>
      </rPr>
      <t xml:space="preserve"> course</t>
    </r>
  </si>
  <si>
    <t>Mkandawire</t>
  </si>
  <si>
    <t>Petros</t>
  </si>
  <si>
    <t>Nanayakkara</t>
  </si>
  <si>
    <t>Chalani</t>
  </si>
  <si>
    <t>Han</t>
  </si>
  <si>
    <t>Yuangchen</t>
  </si>
  <si>
    <t>Paz</t>
  </si>
  <si>
    <t>Bruno</t>
  </si>
  <si>
    <t>Grewer</t>
  </si>
  <si>
    <t>Uwe</t>
  </si>
  <si>
    <t>QLD in July</t>
  </si>
  <si>
    <t>GDUFS 1020</t>
  </si>
  <si>
    <t>GDUFS - Introductory Macroeconomics</t>
  </si>
  <si>
    <t>GDUFS 2010</t>
  </si>
  <si>
    <t xml:space="preserve">GDUFS - Intermediate Microeconomics </t>
  </si>
  <si>
    <t>Dao</t>
  </si>
  <si>
    <t>Nguyen Dinh</t>
  </si>
  <si>
    <t>TBC</t>
  </si>
  <si>
    <t>Blocks &lt; EB Lower Bound</t>
  </si>
  <si>
    <t>Blocks &gt; EB Upper Bound</t>
  </si>
  <si>
    <t>Blocks &lt; SGCB Lower Bound</t>
  </si>
  <si>
    <t>Blocks &gt; SGCB Upper Bound</t>
  </si>
  <si>
    <t>Blocks &lt; TWB Lower Bound</t>
  </si>
  <si>
    <t>Blocks &gt; TWB Upper Bound</t>
  </si>
  <si>
    <t>Blocks &lt; (Average TWB - 0.5)</t>
  </si>
  <si>
    <t>Blocks &gt; (Average TWB + 0.5)</t>
  </si>
  <si>
    <t>No. Students &lt; 75</t>
  </si>
  <si>
    <t>FOOKEN</t>
  </si>
  <si>
    <t>TUFFAHA</t>
  </si>
  <si>
    <t>SOWA</t>
  </si>
  <si>
    <t>S1 (GC)</t>
  </si>
  <si>
    <t>S2 (GC)</t>
  </si>
  <si>
    <t>Member of LCPC - Level C</t>
  </si>
  <si>
    <t>Preciados</t>
  </si>
  <si>
    <t>Lemual Samejon</t>
  </si>
  <si>
    <r>
      <t>TM = Predicted Number of Hons and Masters Theses to be Marked</t>
    </r>
    <r>
      <rPr>
        <sz val="11"/>
        <color rgb="FF000000"/>
        <rFont val="Calibri"/>
        <family val="2"/>
      </rPr>
      <t xml:space="preserve"> 
(Average 18-20)</t>
    </r>
  </si>
  <si>
    <r>
      <t xml:space="preserve">HT or MT = Writing Honours or Masters Thesis
</t>
    </r>
    <r>
      <rPr>
        <sz val="11"/>
        <color theme="1"/>
        <rFont val="Calibri"/>
        <family val="2"/>
        <scheme val="minor"/>
      </rPr>
      <t>(Average 18-20)</t>
    </r>
  </si>
  <si>
    <t>Staff Hiring Officer</t>
  </si>
  <si>
    <t>DE WAAL</t>
  </si>
  <si>
    <t>GARRARD</t>
  </si>
  <si>
    <t>MCLENNAN</t>
  </si>
  <si>
    <t>TBC S2 2021</t>
  </si>
  <si>
    <t>Staff member has agreed to workload</t>
  </si>
  <si>
    <t>HERATH</t>
  </si>
  <si>
    <t xml:space="preserve">GUEST </t>
  </si>
  <si>
    <t>PEREIRA</t>
  </si>
  <si>
    <t>RF/CAS</t>
  </si>
  <si>
    <t>1 block teaching relief - research funding related</t>
  </si>
  <si>
    <t>Extended leave reason</t>
  </si>
  <si>
    <t>Extended leave reason. Staff member has agreed to workload</t>
  </si>
  <si>
    <t>Extended leave reason.  Staff member has agreed to workload</t>
  </si>
  <si>
    <t>Start date tbc</t>
  </si>
  <si>
    <t>Research funding related</t>
  </si>
  <si>
    <t>0.8B carryover allocation from 2020</t>
  </si>
  <si>
    <t>Period as part-time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</si>
</sst>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Body)_x0000_"/>
    </font>
    <font>
      <b/>
      <sz val="11"/>
      <color theme="1"/>
      <name val="Calibri"/>
      <family val="2"/>
      <scheme val="minor"/>
    </font>
    <font>
      <sz val="11"/>
      <color rgb="FFFF0000"/>
      <name val="Calibri (Body)_x0000_"/>
    </font>
    <font>
      <b/>
      <sz val="11"/>
      <color rgb="FF000000"/>
      <name val="Calibri"/>
      <family val="2"/>
      <scheme val="minor"/>
    </font>
    <font>
      <b/>
      <sz val="11"/>
      <color rgb="FFFF0000"/>
      <name val="Calibri (Body)_x0000_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 (Body)_x0000_"/>
    </font>
    <font>
      <sz val="12"/>
      <color rgb="FF006100"/>
      <name val="Calibri"/>
      <family val="2"/>
      <scheme val="minor"/>
    </font>
    <font>
      <sz val="11"/>
      <color rgb="FFFF0000"/>
      <name val="Calibri (Body)"/>
    </font>
    <font>
      <sz val="11"/>
      <color theme="1"/>
      <name val="Calibri (Body)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4"/>
      <name val="Calibri (Body)_x0000_"/>
    </font>
    <font>
      <i/>
      <sz val="11"/>
      <color theme="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</font>
    <font>
      <sz val="11"/>
      <color theme="0" tint="-0.34998626667073579"/>
      <name val="Calibri"/>
      <family val="2"/>
    </font>
    <font>
      <sz val="11"/>
      <color theme="2" tint="-0.499984740745262"/>
      <name val="Calibri"/>
      <family val="2"/>
    </font>
    <font>
      <sz val="10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3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1">
    <xf numFmtId="0" fontId="0" fillId="0" borderId="0" xfId="0"/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/>
    </xf>
    <xf numFmtId="0" fontId="33" fillId="0" borderId="0" xfId="0" applyFont="1" applyFill="1" applyProtection="1"/>
    <xf numFmtId="0" fontId="33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protection locked="0"/>
    </xf>
    <xf numFmtId="0" fontId="33" fillId="0" borderId="0" xfId="0" applyFont="1" applyFill="1" applyBorder="1" applyAlignment="1" applyProtection="1">
      <alignment horizontal="center"/>
    </xf>
    <xf numFmtId="164" fontId="35" fillId="0" borderId="0" xfId="0" applyNumberFormat="1" applyFont="1" applyFill="1" applyBorder="1" applyAlignment="1" applyProtection="1">
      <alignment horizontal="center" vertical="center" wrapText="1"/>
    </xf>
    <xf numFmtId="164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/>
    <xf numFmtId="0" fontId="41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25" fillId="0" borderId="0" xfId="0" applyFont="1" applyBorder="1" applyAlignment="1" applyProtection="1">
      <protection locked="0"/>
    </xf>
    <xf numFmtId="0" fontId="36" fillId="0" borderId="0" xfId="0" applyFont="1" applyFill="1" applyBorder="1" applyAlignment="1" applyProtection="1">
      <alignment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</xf>
    <xf numFmtId="2" fontId="35" fillId="0" borderId="0" xfId="0" applyNumberFormat="1" applyFont="1" applyFill="1" applyBorder="1" applyAlignment="1" applyProtection="1">
      <alignment horizontal="center" vertical="center" wrapText="1"/>
    </xf>
    <xf numFmtId="1" fontId="33" fillId="0" borderId="0" xfId="0" applyNumberFormat="1" applyFont="1" applyFill="1" applyBorder="1" applyAlignment="1" applyProtection="1">
      <alignment horizontal="center"/>
    </xf>
    <xf numFmtId="164" fontId="33" fillId="0" borderId="0" xfId="0" applyNumberFormat="1" applyFont="1" applyBorder="1" applyAlignment="1" applyProtection="1">
      <alignment horizontal="center"/>
    </xf>
    <xf numFmtId="0" fontId="45" fillId="0" borderId="0" xfId="28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164" fontId="33" fillId="0" borderId="0" xfId="0" applyNumberFormat="1" applyFont="1" applyAlignment="1">
      <alignment horizontal="center"/>
    </xf>
    <xf numFmtId="0" fontId="45" fillId="0" borderId="0" xfId="0" applyFont="1" applyBorder="1" applyProtection="1"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45" fillId="0" borderId="0" xfId="0" applyFont="1" applyFill="1" applyAlignment="1" applyProtection="1">
      <alignment horizontal="center"/>
    </xf>
    <xf numFmtId="0" fontId="45" fillId="0" borderId="0" xfId="0" applyFont="1" applyProtection="1"/>
    <xf numFmtId="0" fontId="46" fillId="0" borderId="0" xfId="0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left" vertical="center"/>
    </xf>
    <xf numFmtId="0" fontId="45" fillId="0" borderId="0" xfId="0" applyFont="1" applyFill="1" applyBorder="1" applyProtection="1"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/>
      <protection locked="0"/>
    </xf>
    <xf numFmtId="14" fontId="45" fillId="0" borderId="0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 locked="0"/>
    </xf>
    <xf numFmtId="2" fontId="33" fillId="0" borderId="0" xfId="0" applyNumberFormat="1" applyFont="1" applyBorder="1" applyAlignment="1" applyProtection="1">
      <alignment horizontal="center"/>
    </xf>
    <xf numFmtId="164" fontId="35" fillId="0" borderId="0" xfId="0" applyNumberFormat="1" applyFont="1" applyAlignment="1">
      <alignment horizontal="center" vertical="center" wrapText="1"/>
    </xf>
    <xf numFmtId="164" fontId="40" fillId="0" borderId="0" xfId="0" applyNumberFormat="1" applyFont="1" applyFill="1" applyBorder="1" applyAlignment="1" applyProtection="1">
      <alignment horizontal="center" vertical="center" wrapText="1"/>
    </xf>
    <xf numFmtId="164" fontId="41" fillId="0" borderId="0" xfId="0" applyNumberFormat="1" applyFont="1" applyFill="1" applyBorder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164" fontId="33" fillId="0" borderId="0" xfId="0" applyNumberFormat="1" applyFont="1" applyFill="1" applyAlignment="1">
      <alignment horizontal="center"/>
    </xf>
    <xf numFmtId="164" fontId="38" fillId="0" borderId="0" xfId="0" applyNumberFormat="1" applyFont="1" applyFill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2" fontId="3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45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" xfId="0" applyFont="1" applyFill="1" applyBorder="1" applyAlignment="1" applyProtection="1">
      <alignment horizontal="left" vertical="center"/>
      <protection locked="0"/>
    </xf>
    <xf numFmtId="0" fontId="45" fillId="0" borderId="0" xfId="28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164" fontId="49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Protection="1"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protection locked="0"/>
    </xf>
    <xf numFmtId="1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17" fontId="24" fillId="0" borderId="0" xfId="0" applyNumberFormat="1" applyFont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wrapText="1"/>
      <protection locked="0"/>
    </xf>
    <xf numFmtId="14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15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left" vertical="center"/>
    </xf>
    <xf numFmtId="49" fontId="24" fillId="0" borderId="0" xfId="0" quotePrefix="1" applyNumberFormat="1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Border="1" applyAlignment="1" applyProtection="1"/>
    <xf numFmtId="49" fontId="24" fillId="0" borderId="0" xfId="0" applyNumberFormat="1" applyFont="1" applyFill="1" applyBorder="1" applyAlignment="1" applyProtection="1"/>
    <xf numFmtId="2" fontId="24" fillId="3" borderId="0" xfId="0" applyNumberFormat="1" applyFont="1" applyFill="1" applyBorder="1" applyAlignment="1" applyProtection="1">
      <alignment horizontal="left" vertical="center"/>
      <protection locked="0"/>
    </xf>
    <xf numFmtId="1" fontId="24" fillId="3" borderId="0" xfId="0" applyNumberFormat="1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wrapText="1"/>
    </xf>
    <xf numFmtId="49" fontId="24" fillId="0" borderId="0" xfId="0" applyNumberFormat="1" applyFont="1" applyBorder="1" applyAlignment="1" applyProtection="1"/>
    <xf numFmtId="1" fontId="24" fillId="0" borderId="0" xfId="0" applyNumberFormat="1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</xf>
    <xf numFmtId="49" fontId="24" fillId="3" borderId="2" xfId="0" applyNumberFormat="1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4" fillId="0" borderId="0" xfId="0" applyFont="1" applyProtection="1"/>
    <xf numFmtId="0" fontId="24" fillId="0" borderId="0" xfId="0" applyFont="1" applyFill="1" applyProtection="1">
      <protection locked="0"/>
    </xf>
    <xf numFmtId="0" fontId="24" fillId="0" borderId="0" xfId="0" applyFont="1" applyFill="1" applyProtection="1"/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4" fillId="0" borderId="0" xfId="0" applyFont="1" applyFill="1"/>
    <xf numFmtId="1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/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0" xfId="0" applyFont="1" applyFill="1" applyBorder="1" applyAlignment="1" applyProtection="1">
      <alignment horizontal="left"/>
      <protection locked="0"/>
    </xf>
    <xf numFmtId="0" fontId="15" fillId="0" borderId="0" xfId="0" applyFont="1"/>
    <xf numFmtId="0" fontId="15" fillId="0" borderId="0" xfId="0" applyFont="1" applyFill="1"/>
    <xf numFmtId="0" fontId="14" fillId="0" borderId="0" xfId="0" applyFont="1"/>
    <xf numFmtId="0" fontId="13" fillId="0" borderId="0" xfId="0" applyFont="1"/>
    <xf numFmtId="0" fontId="12" fillId="0" borderId="0" xfId="0" applyFont="1" applyFill="1"/>
    <xf numFmtId="0" fontId="12" fillId="0" borderId="0" xfId="0" applyFont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164" fontId="45" fillId="0" borderId="0" xfId="0" applyNumberFormat="1" applyFont="1" applyBorder="1" applyAlignment="1" applyProtection="1">
      <alignment horizontal="center"/>
      <protection locked="0"/>
    </xf>
    <xf numFmtId="164" fontId="45" fillId="0" borderId="0" xfId="0" applyNumberFormat="1" applyFont="1" applyFill="1" applyBorder="1" applyAlignment="1" applyProtection="1">
      <alignment horizontal="center"/>
      <protection locked="0"/>
    </xf>
    <xf numFmtId="164" fontId="45" fillId="0" borderId="0" xfId="0" applyNumberFormat="1" applyFont="1" applyAlignment="1" applyProtection="1">
      <alignment horizontal="center"/>
      <protection locked="0"/>
    </xf>
    <xf numFmtId="164" fontId="45" fillId="0" borderId="0" xfId="28" applyNumberFormat="1" applyFont="1" applyFill="1" applyBorder="1" applyAlignment="1" applyProtection="1">
      <alignment horizontal="center"/>
      <protection locked="0"/>
    </xf>
    <xf numFmtId="164" fontId="45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5" fillId="0" borderId="1" xfId="0" applyFont="1" applyFill="1" applyBorder="1" applyAlignment="1" applyProtection="1">
      <alignment horizontal="left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45" fillId="0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55" fillId="0" borderId="0" xfId="0" applyFont="1"/>
    <xf numFmtId="0" fontId="56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protection locked="0"/>
    </xf>
    <xf numFmtId="164" fontId="56" fillId="0" borderId="0" xfId="0" applyNumberFormat="1" applyFont="1" applyFill="1" applyAlignment="1">
      <alignment horizontal="center"/>
    </xf>
    <xf numFmtId="164" fontId="57" fillId="0" borderId="0" xfId="0" applyNumberFormat="1" applyFont="1" applyFill="1" applyBorder="1" applyAlignment="1" applyProtection="1">
      <alignment horizontal="center"/>
    </xf>
    <xf numFmtId="0" fontId="58" fillId="0" borderId="0" xfId="0" applyFont="1" applyFill="1" applyBorder="1" applyAlignment="1" applyProtection="1">
      <protection locked="0"/>
    </xf>
    <xf numFmtId="164" fontId="56" fillId="0" borderId="0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center"/>
      <protection locked="0"/>
    </xf>
    <xf numFmtId="164" fontId="57" fillId="0" borderId="0" xfId="0" applyNumberFormat="1" applyFont="1" applyFill="1" applyBorder="1" applyAlignment="1" applyProtection="1">
      <alignment horizontal="center"/>
      <protection locked="0"/>
    </xf>
    <xf numFmtId="164" fontId="56" fillId="0" borderId="0" xfId="0" applyNumberFormat="1" applyFont="1" applyFill="1" applyBorder="1" applyAlignment="1" applyProtection="1">
      <alignment horizontal="center"/>
    </xf>
    <xf numFmtId="0" fontId="54" fillId="0" borderId="0" xfId="0" applyFont="1" applyBorder="1" applyAlignment="1" applyProtection="1">
      <protection locked="0"/>
    </xf>
    <xf numFmtId="0" fontId="59" fillId="0" borderId="0" xfId="0" applyFont="1" applyBorder="1" applyAlignment="1" applyProtection="1">
      <protection locked="0"/>
    </xf>
    <xf numFmtId="0" fontId="59" fillId="0" borderId="0" xfId="0" applyFont="1" applyFill="1" applyBorder="1" applyAlignment="1" applyProtection="1">
      <protection locked="0"/>
    </xf>
    <xf numFmtId="0" fontId="55" fillId="0" borderId="0" xfId="0" applyFont="1" applyBorder="1" applyAlignment="1" applyProtection="1">
      <protection locked="0"/>
    </xf>
  </cellXfs>
  <cellStyles count="43">
    <cellStyle name="Bad" xfId="28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Good" xfId="1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  <color rgb="FF4472C4"/>
      <color rgb="FFE5E5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WG/2020%20workloads%20-%20030420%20(actual%20S1%202020%20enrolments%20+T%20reduct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Courses"/>
      <sheetName val="Teaching Allocations"/>
      <sheetName val="Supervision"/>
      <sheetName val="Thesis Marking"/>
      <sheetName val="Service Allocations"/>
      <sheetName val="Workloads"/>
    </sheetNames>
    <sheetDataSet>
      <sheetData sheetId="0">
        <row r="71">
          <cell r="D71" t="str">
            <v>0.135</v>
          </cell>
        </row>
        <row r="100">
          <cell r="D100" t="str">
            <v>35</v>
          </cell>
        </row>
      </sheetData>
      <sheetData sheetId="1">
        <row r="2">
          <cell r="A2" t="str">
            <v>ECON1010S1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/>
  </sheetViews>
  <sheetFormatPr defaultColWidth="10.875" defaultRowHeight="15"/>
  <cols>
    <col min="1" max="1" width="8" style="115" bestFit="1" customWidth="1"/>
    <col min="2" max="2" width="16.375" style="102" bestFit="1" customWidth="1"/>
    <col min="3" max="3" width="10" style="113" bestFit="1" customWidth="1"/>
    <col min="4" max="4" width="6" style="108" customWidth="1"/>
    <col min="5" max="5" width="5.375" style="108" customWidth="1"/>
    <col min="6" max="6" width="33" style="108" customWidth="1"/>
    <col min="7" max="7" width="33" style="110" bestFit="1" customWidth="1"/>
    <col min="8" max="16384" width="10.875" style="102"/>
  </cols>
  <sheetData>
    <row r="1" spans="1:7" s="16" customFormat="1">
      <c r="A1" s="16" t="s">
        <v>509</v>
      </c>
      <c r="B1" s="17" t="s">
        <v>510</v>
      </c>
      <c r="C1" s="16" t="s">
        <v>415</v>
      </c>
      <c r="D1" s="174" t="s">
        <v>416</v>
      </c>
      <c r="E1" s="174"/>
      <c r="F1" s="174"/>
      <c r="G1" s="18"/>
    </row>
    <row r="2" spans="1:7" s="16" customFormat="1">
      <c r="D2" s="51"/>
      <c r="E2" s="18"/>
      <c r="F2" s="18"/>
      <c r="G2" s="18"/>
    </row>
    <row r="3" spans="1:7" s="98" customFormat="1">
      <c r="A3" s="97">
        <v>3</v>
      </c>
      <c r="B3" s="98" t="s">
        <v>409</v>
      </c>
      <c r="C3" s="99" t="s">
        <v>296</v>
      </c>
      <c r="E3" s="100" t="s">
        <v>422</v>
      </c>
      <c r="F3" s="101"/>
      <c r="G3" s="101"/>
    </row>
    <row r="4" spans="1:7" s="98" customFormat="1">
      <c r="A4" s="97">
        <v>4</v>
      </c>
      <c r="B4" s="98" t="s">
        <v>409</v>
      </c>
      <c r="C4" s="99" t="s">
        <v>204</v>
      </c>
      <c r="E4" s="100" t="s">
        <v>765</v>
      </c>
      <c r="F4" s="101"/>
      <c r="G4" s="101"/>
    </row>
    <row r="5" spans="1:7" s="98" customFormat="1">
      <c r="A5" s="97">
        <v>5</v>
      </c>
      <c r="B5" s="98" t="s">
        <v>409</v>
      </c>
      <c r="C5" s="99" t="s">
        <v>363</v>
      </c>
      <c r="E5" s="101" t="s">
        <v>368</v>
      </c>
      <c r="F5" s="101"/>
      <c r="G5" s="101"/>
    </row>
    <row r="6" spans="1:7" s="98" customFormat="1">
      <c r="A6" s="97">
        <v>6</v>
      </c>
      <c r="B6" s="98" t="s">
        <v>409</v>
      </c>
      <c r="C6" s="99" t="s">
        <v>361</v>
      </c>
      <c r="E6" s="101" t="s">
        <v>365</v>
      </c>
      <c r="F6" s="101"/>
      <c r="G6" s="101"/>
    </row>
    <row r="7" spans="1:7" s="98" customFormat="1">
      <c r="A7" s="97">
        <v>7</v>
      </c>
      <c r="B7" s="98" t="s">
        <v>409</v>
      </c>
      <c r="C7" s="99" t="s">
        <v>364</v>
      </c>
      <c r="E7" s="101" t="s">
        <v>366</v>
      </c>
      <c r="F7" s="101"/>
      <c r="G7" s="101"/>
    </row>
    <row r="8" spans="1:7" s="98" customFormat="1">
      <c r="A8" s="97">
        <v>8</v>
      </c>
      <c r="B8" s="98" t="s">
        <v>409</v>
      </c>
      <c r="C8" s="99" t="s">
        <v>362</v>
      </c>
      <c r="E8" s="101" t="s">
        <v>367</v>
      </c>
      <c r="F8" s="101"/>
      <c r="G8" s="101"/>
    </row>
    <row r="9" spans="1:7" s="98" customFormat="1">
      <c r="A9" s="97">
        <v>9</v>
      </c>
      <c r="B9" s="98" t="s">
        <v>409</v>
      </c>
      <c r="C9" s="99" t="s">
        <v>297</v>
      </c>
      <c r="E9" s="101" t="s">
        <v>325</v>
      </c>
      <c r="F9" s="101"/>
      <c r="G9" s="101"/>
    </row>
    <row r="10" spans="1:7" s="98" customFormat="1">
      <c r="A10" s="97">
        <v>10</v>
      </c>
      <c r="B10" s="98" t="s">
        <v>409</v>
      </c>
      <c r="C10" s="99" t="s">
        <v>343</v>
      </c>
      <c r="E10" s="101" t="s">
        <v>393</v>
      </c>
      <c r="F10" s="101"/>
      <c r="G10" s="101" t="s">
        <v>394</v>
      </c>
    </row>
    <row r="11" spans="1:7" s="98" customFormat="1">
      <c r="A11" s="97">
        <v>11</v>
      </c>
      <c r="B11" s="98" t="s">
        <v>409</v>
      </c>
      <c r="C11" s="99" t="s">
        <v>371</v>
      </c>
      <c r="E11" s="101" t="s">
        <v>373</v>
      </c>
      <c r="F11" s="101"/>
      <c r="G11" s="101" t="s">
        <v>466</v>
      </c>
    </row>
    <row r="12" spans="1:7" s="98" customFormat="1">
      <c r="A12" s="97">
        <v>12</v>
      </c>
      <c r="B12" s="98" t="s">
        <v>409</v>
      </c>
      <c r="C12" s="99" t="s">
        <v>372</v>
      </c>
      <c r="E12" s="101" t="s">
        <v>374</v>
      </c>
      <c r="F12" s="101"/>
      <c r="G12" s="100" t="s">
        <v>467</v>
      </c>
    </row>
    <row r="13" spans="1:7" s="98" customFormat="1">
      <c r="A13" s="97">
        <v>13</v>
      </c>
      <c r="C13" s="99"/>
      <c r="E13" s="101"/>
      <c r="F13" s="101"/>
      <c r="G13" s="100"/>
    </row>
    <row r="14" spans="1:7" s="98" customFormat="1">
      <c r="A14" s="97">
        <v>14</v>
      </c>
      <c r="B14" s="98" t="s">
        <v>410</v>
      </c>
      <c r="C14" s="99" t="s">
        <v>298</v>
      </c>
      <c r="E14" s="100" t="s">
        <v>354</v>
      </c>
      <c r="F14" s="101"/>
      <c r="G14" s="101"/>
    </row>
    <row r="15" spans="1:7" s="98" customFormat="1">
      <c r="A15" s="97">
        <v>15</v>
      </c>
      <c r="B15" s="98" t="s">
        <v>410</v>
      </c>
      <c r="C15" s="99" t="s">
        <v>299</v>
      </c>
      <c r="E15" s="100" t="s">
        <v>355</v>
      </c>
      <c r="F15" s="101"/>
      <c r="G15" s="101"/>
    </row>
    <row r="16" spans="1:7" s="98" customFormat="1">
      <c r="A16" s="97">
        <v>16</v>
      </c>
      <c r="B16" s="98" t="s">
        <v>410</v>
      </c>
      <c r="C16" s="99" t="s">
        <v>119</v>
      </c>
      <c r="E16" s="100" t="s">
        <v>576</v>
      </c>
      <c r="F16" s="101"/>
      <c r="G16" s="101"/>
    </row>
    <row r="17" spans="1:7" s="98" customFormat="1">
      <c r="A17" s="97">
        <v>17</v>
      </c>
      <c r="B17" s="98" t="s">
        <v>410</v>
      </c>
      <c r="C17" s="99" t="s">
        <v>379</v>
      </c>
      <c r="E17" s="100" t="s">
        <v>382</v>
      </c>
      <c r="F17" s="101"/>
      <c r="G17" s="101"/>
    </row>
    <row r="18" spans="1:7" s="98" customFormat="1">
      <c r="A18" s="97">
        <v>18</v>
      </c>
      <c r="B18" s="98" t="s">
        <v>410</v>
      </c>
      <c r="C18" s="99" t="s">
        <v>380</v>
      </c>
      <c r="E18" s="100" t="s">
        <v>383</v>
      </c>
      <c r="F18" s="101"/>
      <c r="G18" s="101"/>
    </row>
    <row r="19" spans="1:7" s="98" customFormat="1">
      <c r="A19" s="97">
        <v>19</v>
      </c>
      <c r="B19" s="98" t="s">
        <v>410</v>
      </c>
      <c r="C19" s="99" t="s">
        <v>293</v>
      </c>
      <c r="E19" s="100" t="s">
        <v>384</v>
      </c>
      <c r="F19" s="101"/>
      <c r="G19" s="101"/>
    </row>
    <row r="20" spans="1:7" s="98" customFormat="1">
      <c r="A20" s="97">
        <v>20</v>
      </c>
      <c r="B20" s="98" t="s">
        <v>410</v>
      </c>
      <c r="C20" s="99" t="s">
        <v>381</v>
      </c>
      <c r="E20" s="100" t="s">
        <v>385</v>
      </c>
      <c r="F20" s="101"/>
      <c r="G20" s="101"/>
    </row>
    <row r="21" spans="1:7" s="98" customFormat="1">
      <c r="A21" s="97">
        <v>21</v>
      </c>
      <c r="C21" s="99"/>
      <c r="E21" s="100"/>
      <c r="F21" s="101"/>
      <c r="G21" s="101"/>
    </row>
    <row r="22" spans="1:7" s="98" customFormat="1">
      <c r="A22" s="97">
        <v>22</v>
      </c>
      <c r="B22" s="98" t="s">
        <v>410</v>
      </c>
      <c r="C22" s="99" t="s">
        <v>348</v>
      </c>
      <c r="E22" s="100" t="s">
        <v>351</v>
      </c>
      <c r="F22" s="101"/>
      <c r="G22" s="101" t="s">
        <v>574</v>
      </c>
    </row>
    <row r="23" spans="1:7" s="98" customFormat="1">
      <c r="A23" s="97">
        <v>23</v>
      </c>
      <c r="B23" s="98" t="s">
        <v>410</v>
      </c>
      <c r="C23" s="99" t="s">
        <v>352</v>
      </c>
      <c r="E23" s="100" t="s">
        <v>353</v>
      </c>
      <c r="F23" s="101"/>
      <c r="G23" s="101" t="s">
        <v>539</v>
      </c>
    </row>
    <row r="24" spans="1:7" s="98" customFormat="1">
      <c r="A24" s="97">
        <v>24</v>
      </c>
      <c r="B24" s="98" t="s">
        <v>410</v>
      </c>
      <c r="C24" s="99" t="s">
        <v>316</v>
      </c>
      <c r="E24" s="101" t="s">
        <v>330</v>
      </c>
      <c r="F24" s="101"/>
      <c r="G24" s="101" t="s">
        <v>444</v>
      </c>
    </row>
    <row r="25" spans="1:7" s="98" customFormat="1">
      <c r="A25" s="97">
        <v>25</v>
      </c>
      <c r="B25" s="98" t="s">
        <v>410</v>
      </c>
      <c r="C25" s="99" t="s">
        <v>317</v>
      </c>
      <c r="E25" s="101" t="s">
        <v>331</v>
      </c>
      <c r="F25" s="101"/>
      <c r="G25" s="101" t="s">
        <v>446</v>
      </c>
    </row>
    <row r="26" spans="1:7" s="98" customFormat="1">
      <c r="A26" s="97">
        <v>26</v>
      </c>
      <c r="B26" s="98" t="s">
        <v>410</v>
      </c>
      <c r="C26" s="99" t="s">
        <v>195</v>
      </c>
      <c r="E26" s="101" t="s">
        <v>326</v>
      </c>
      <c r="F26" s="101"/>
      <c r="G26" s="101" t="s">
        <v>386</v>
      </c>
    </row>
    <row r="27" spans="1:7" s="98" customFormat="1">
      <c r="A27" s="97">
        <v>27</v>
      </c>
      <c r="B27" s="98" t="s">
        <v>410</v>
      </c>
      <c r="C27" s="99" t="s">
        <v>196</v>
      </c>
      <c r="E27" s="101" t="s">
        <v>327</v>
      </c>
      <c r="F27" s="101"/>
      <c r="G27" s="101" t="s">
        <v>387</v>
      </c>
    </row>
    <row r="28" spans="1:7" s="98" customFormat="1">
      <c r="A28" s="97">
        <v>28</v>
      </c>
      <c r="B28" s="98" t="s">
        <v>410</v>
      </c>
      <c r="C28" s="99" t="s">
        <v>197</v>
      </c>
      <c r="E28" s="101" t="s">
        <v>328</v>
      </c>
      <c r="F28" s="101"/>
      <c r="G28" s="101" t="s">
        <v>388</v>
      </c>
    </row>
    <row r="29" spans="1:7" s="98" customFormat="1">
      <c r="A29" s="97">
        <v>29</v>
      </c>
      <c r="B29" s="98" t="s">
        <v>410</v>
      </c>
      <c r="C29" s="99" t="s">
        <v>198</v>
      </c>
      <c r="E29" s="101" t="s">
        <v>329</v>
      </c>
      <c r="F29" s="101"/>
      <c r="G29" s="101" t="s">
        <v>389</v>
      </c>
    </row>
    <row r="30" spans="1:7" s="98" customFormat="1">
      <c r="A30" s="97">
        <v>30</v>
      </c>
      <c r="B30" s="98" t="s">
        <v>410</v>
      </c>
      <c r="C30" s="99" t="s">
        <v>338</v>
      </c>
      <c r="E30" s="101" t="s">
        <v>339</v>
      </c>
      <c r="F30" s="101"/>
      <c r="G30" s="101" t="s">
        <v>583</v>
      </c>
    </row>
    <row r="31" spans="1:7" s="98" customFormat="1">
      <c r="A31" s="97">
        <v>31</v>
      </c>
      <c r="B31" s="98" t="s">
        <v>410</v>
      </c>
      <c r="C31" s="99" t="s">
        <v>340</v>
      </c>
      <c r="E31" s="101" t="s">
        <v>459</v>
      </c>
      <c r="F31" s="101"/>
      <c r="G31" s="101" t="s">
        <v>537</v>
      </c>
    </row>
    <row r="32" spans="1:7" s="98" customFormat="1">
      <c r="A32" s="97">
        <v>32</v>
      </c>
      <c r="B32" s="98" t="s">
        <v>410</v>
      </c>
      <c r="C32" s="99" t="s">
        <v>349</v>
      </c>
      <c r="E32" s="101" t="s">
        <v>350</v>
      </c>
      <c r="F32" s="101"/>
      <c r="G32" s="101" t="s">
        <v>538</v>
      </c>
    </row>
    <row r="33" spans="1:7" s="98" customFormat="1">
      <c r="A33" s="97">
        <v>33</v>
      </c>
      <c r="B33" s="98" t="s">
        <v>410</v>
      </c>
      <c r="C33" s="99" t="s">
        <v>457</v>
      </c>
      <c r="E33" s="101" t="s">
        <v>455</v>
      </c>
      <c r="F33" s="101"/>
      <c r="G33" s="101" t="s">
        <v>582</v>
      </c>
    </row>
    <row r="34" spans="1:7" s="98" customFormat="1">
      <c r="A34" s="97">
        <v>34</v>
      </c>
      <c r="B34" s="98" t="s">
        <v>410</v>
      </c>
      <c r="C34" s="99" t="s">
        <v>456</v>
      </c>
      <c r="E34" s="101" t="s">
        <v>458</v>
      </c>
      <c r="F34" s="101"/>
      <c r="G34" s="101" t="s">
        <v>461</v>
      </c>
    </row>
    <row r="35" spans="1:7" s="98" customFormat="1">
      <c r="A35" s="97">
        <v>35</v>
      </c>
      <c r="C35" s="99"/>
      <c r="E35" s="101"/>
      <c r="F35" s="101"/>
      <c r="G35" s="101"/>
    </row>
    <row r="36" spans="1:7" s="98" customFormat="1">
      <c r="A36" s="97">
        <v>36</v>
      </c>
      <c r="B36" s="98" t="s">
        <v>411</v>
      </c>
      <c r="C36" s="99" t="s">
        <v>471</v>
      </c>
      <c r="E36" s="100" t="s">
        <v>470</v>
      </c>
      <c r="F36" s="101"/>
      <c r="G36" s="101"/>
    </row>
    <row r="37" spans="1:7" s="98" customFormat="1">
      <c r="A37" s="97">
        <v>37</v>
      </c>
      <c r="B37" s="98" t="s">
        <v>411</v>
      </c>
      <c r="C37" s="99" t="s">
        <v>472</v>
      </c>
      <c r="E37" s="100" t="s">
        <v>530</v>
      </c>
      <c r="F37" s="101"/>
      <c r="G37" s="101"/>
    </row>
    <row r="38" spans="1:7" s="98" customFormat="1">
      <c r="A38" s="97">
        <v>38</v>
      </c>
      <c r="B38" s="102" t="s">
        <v>411</v>
      </c>
      <c r="C38" s="99" t="s">
        <v>473</v>
      </c>
      <c r="E38" s="100" t="s">
        <v>531</v>
      </c>
      <c r="F38" s="101"/>
      <c r="G38" s="101"/>
    </row>
    <row r="39" spans="1:7" s="98" customFormat="1">
      <c r="A39" s="97">
        <v>39</v>
      </c>
      <c r="B39" s="102" t="s">
        <v>411</v>
      </c>
      <c r="C39" s="99" t="s">
        <v>474</v>
      </c>
      <c r="E39" s="100" t="s">
        <v>577</v>
      </c>
      <c r="F39" s="101"/>
      <c r="G39" s="101"/>
    </row>
    <row r="40" spans="1:7" s="98" customFormat="1">
      <c r="A40" s="97">
        <v>40</v>
      </c>
      <c r="B40" s="102" t="s">
        <v>411</v>
      </c>
      <c r="C40" s="99" t="s">
        <v>468</v>
      </c>
      <c r="E40" s="101" t="s">
        <v>469</v>
      </c>
      <c r="F40" s="101"/>
      <c r="G40" s="101" t="s">
        <v>575</v>
      </c>
    </row>
    <row r="41" spans="1:7" s="98" customFormat="1">
      <c r="A41" s="97">
        <v>41</v>
      </c>
      <c r="B41" s="102" t="s">
        <v>411</v>
      </c>
      <c r="C41" s="99" t="s">
        <v>476</v>
      </c>
      <c r="E41" s="101" t="s">
        <v>492</v>
      </c>
      <c r="F41" s="101"/>
      <c r="G41" s="101" t="s">
        <v>493</v>
      </c>
    </row>
    <row r="42" spans="1:7" s="98" customFormat="1">
      <c r="A42" s="97">
        <v>42</v>
      </c>
      <c r="B42" s="102"/>
      <c r="C42" s="99"/>
      <c r="E42" s="101"/>
      <c r="F42" s="101"/>
      <c r="G42" s="101"/>
    </row>
    <row r="43" spans="1:7" s="98" customFormat="1">
      <c r="A43" s="97">
        <v>43</v>
      </c>
      <c r="B43" s="102" t="s">
        <v>412</v>
      </c>
      <c r="C43" s="99" t="s">
        <v>300</v>
      </c>
      <c r="E43" s="101" t="s">
        <v>332</v>
      </c>
      <c r="F43" s="101"/>
      <c r="G43" s="101"/>
    </row>
    <row r="44" spans="1:7" s="98" customFormat="1">
      <c r="A44" s="97">
        <v>44</v>
      </c>
      <c r="B44" s="102" t="s">
        <v>412</v>
      </c>
      <c r="C44" s="99" t="s">
        <v>483</v>
      </c>
      <c r="E44" s="101" t="s">
        <v>490</v>
      </c>
      <c r="F44" s="101"/>
      <c r="G44" s="101" t="s">
        <v>711</v>
      </c>
    </row>
    <row r="45" spans="1:7" s="98" customFormat="1">
      <c r="A45" s="97">
        <v>45</v>
      </c>
      <c r="B45" s="102" t="s">
        <v>412</v>
      </c>
      <c r="C45" s="99" t="s">
        <v>484</v>
      </c>
      <c r="E45" s="101" t="s">
        <v>491</v>
      </c>
      <c r="F45" s="101"/>
      <c r="G45" s="101" t="s">
        <v>712</v>
      </c>
    </row>
    <row r="46" spans="1:7" s="98" customFormat="1">
      <c r="A46" s="97">
        <v>46</v>
      </c>
      <c r="B46" s="102"/>
      <c r="C46" s="99"/>
      <c r="E46" s="101"/>
      <c r="F46" s="101"/>
      <c r="G46" s="101"/>
    </row>
    <row r="47" spans="1:7" s="98" customFormat="1">
      <c r="A47" s="97">
        <v>47</v>
      </c>
      <c r="B47" s="98" t="s">
        <v>413</v>
      </c>
      <c r="C47" s="99" t="s">
        <v>301</v>
      </c>
      <c r="E47" s="101" t="s">
        <v>499</v>
      </c>
      <c r="F47" s="101"/>
      <c r="G47" s="101"/>
    </row>
    <row r="48" spans="1:7" s="98" customFormat="1">
      <c r="A48" s="97">
        <v>48</v>
      </c>
      <c r="B48" s="98" t="s">
        <v>413</v>
      </c>
      <c r="C48" s="99" t="s">
        <v>302</v>
      </c>
      <c r="E48" s="101" t="s">
        <v>529</v>
      </c>
      <c r="F48" s="101"/>
      <c r="G48" s="101" t="s">
        <v>320</v>
      </c>
    </row>
    <row r="49" spans="1:7" s="98" customFormat="1">
      <c r="A49" s="97">
        <v>49</v>
      </c>
      <c r="C49" s="99"/>
      <c r="E49" s="101"/>
      <c r="F49" s="101"/>
      <c r="G49" s="101"/>
    </row>
    <row r="50" spans="1:7" s="98" customFormat="1">
      <c r="A50" s="97">
        <v>50</v>
      </c>
      <c r="B50" s="98" t="s">
        <v>414</v>
      </c>
      <c r="C50" s="99" t="s">
        <v>651</v>
      </c>
      <c r="E50" s="101" t="s">
        <v>652</v>
      </c>
      <c r="F50" s="101"/>
      <c r="G50" s="101"/>
    </row>
    <row r="51" spans="1:7" s="98" customFormat="1">
      <c r="A51" s="97">
        <v>51</v>
      </c>
      <c r="B51" s="98" t="s">
        <v>414</v>
      </c>
      <c r="C51" s="99" t="s">
        <v>512</v>
      </c>
      <c r="E51" s="100" t="s">
        <v>514</v>
      </c>
      <c r="F51" s="101"/>
      <c r="G51" s="101"/>
    </row>
    <row r="52" spans="1:7" s="98" customFormat="1">
      <c r="A52" s="97">
        <v>52</v>
      </c>
      <c r="B52" s="98" t="s">
        <v>414</v>
      </c>
      <c r="C52" s="99" t="s">
        <v>513</v>
      </c>
      <c r="E52" s="100" t="s">
        <v>515</v>
      </c>
      <c r="F52" s="101"/>
      <c r="G52" s="101"/>
    </row>
    <row r="53" spans="1:7" s="98" customFormat="1">
      <c r="A53" s="97">
        <v>53</v>
      </c>
      <c r="B53" s="98" t="s">
        <v>414</v>
      </c>
      <c r="C53" s="99" t="s">
        <v>516</v>
      </c>
      <c r="E53" s="100" t="s">
        <v>518</v>
      </c>
      <c r="F53" s="101"/>
      <c r="G53" s="101"/>
    </row>
    <row r="54" spans="1:7" s="98" customFormat="1">
      <c r="A54" s="97">
        <v>54</v>
      </c>
      <c r="B54" s="98" t="s">
        <v>414</v>
      </c>
      <c r="C54" s="99" t="s">
        <v>517</v>
      </c>
      <c r="E54" s="100" t="s">
        <v>520</v>
      </c>
      <c r="F54" s="101"/>
      <c r="G54" s="101"/>
    </row>
    <row r="55" spans="1:7" s="98" customFormat="1">
      <c r="A55" s="97">
        <v>55</v>
      </c>
      <c r="B55" s="98" t="s">
        <v>414</v>
      </c>
      <c r="C55" s="99" t="s">
        <v>519</v>
      </c>
      <c r="E55" s="100" t="s">
        <v>521</v>
      </c>
      <c r="F55" s="101"/>
      <c r="G55" s="101"/>
    </row>
    <row r="56" spans="1:7" s="98" customFormat="1">
      <c r="A56" s="97">
        <v>56</v>
      </c>
      <c r="B56" s="98" t="s">
        <v>414</v>
      </c>
      <c r="C56" s="99" t="s">
        <v>290</v>
      </c>
      <c r="E56" s="101" t="s">
        <v>581</v>
      </c>
      <c r="F56" s="101"/>
      <c r="G56" s="101"/>
    </row>
    <row r="57" spans="1:7" s="98" customFormat="1">
      <c r="A57" s="97">
        <v>57</v>
      </c>
      <c r="B57" s="98" t="s">
        <v>414</v>
      </c>
      <c r="C57" s="99" t="s">
        <v>457</v>
      </c>
      <c r="E57" s="101" t="s">
        <v>455</v>
      </c>
      <c r="F57" s="101"/>
      <c r="G57" s="101"/>
    </row>
    <row r="58" spans="1:7" s="98" customFormat="1">
      <c r="A58" s="97">
        <v>58</v>
      </c>
      <c r="B58" s="98" t="s">
        <v>414</v>
      </c>
      <c r="C58" s="99" t="s">
        <v>468</v>
      </c>
      <c r="E58" s="101" t="s">
        <v>469</v>
      </c>
      <c r="F58" s="101"/>
      <c r="G58" s="101"/>
    </row>
    <row r="59" spans="1:7" s="98" customFormat="1">
      <c r="A59" s="97">
        <v>59</v>
      </c>
      <c r="B59" s="98" t="s">
        <v>414</v>
      </c>
      <c r="C59" s="99" t="s">
        <v>483</v>
      </c>
      <c r="E59" s="101" t="s">
        <v>490</v>
      </c>
      <c r="F59" s="101"/>
      <c r="G59" s="101"/>
    </row>
    <row r="60" spans="1:7" s="98" customFormat="1">
      <c r="A60" s="97">
        <v>60</v>
      </c>
      <c r="B60" s="98" t="s">
        <v>414</v>
      </c>
      <c r="C60" s="99" t="s">
        <v>500</v>
      </c>
      <c r="E60" s="101" t="s">
        <v>502</v>
      </c>
      <c r="F60" s="101"/>
      <c r="G60" s="101" t="s">
        <v>528</v>
      </c>
    </row>
    <row r="61" spans="1:7" s="98" customFormat="1">
      <c r="A61" s="97">
        <v>61</v>
      </c>
      <c r="B61" s="98" t="s">
        <v>414</v>
      </c>
      <c r="C61" s="99" t="s">
        <v>288</v>
      </c>
      <c r="E61" s="101" t="s">
        <v>508</v>
      </c>
      <c r="F61" s="101"/>
      <c r="G61" s="101" t="s">
        <v>526</v>
      </c>
    </row>
    <row r="62" spans="1:7" s="98" customFormat="1">
      <c r="A62" s="97">
        <v>62</v>
      </c>
      <c r="B62" s="98" t="s">
        <v>414</v>
      </c>
      <c r="C62" s="99" t="s">
        <v>456</v>
      </c>
      <c r="E62" s="101" t="s">
        <v>507</v>
      </c>
      <c r="F62" s="101"/>
      <c r="G62" s="101" t="s">
        <v>506</v>
      </c>
    </row>
    <row r="63" spans="1:7" s="98" customFormat="1">
      <c r="A63" s="97">
        <v>63</v>
      </c>
      <c r="B63" s="98" t="s">
        <v>414</v>
      </c>
      <c r="C63" s="99" t="s">
        <v>476</v>
      </c>
      <c r="E63" s="101" t="s">
        <v>492</v>
      </c>
      <c r="F63" s="101"/>
      <c r="G63" s="101" t="s">
        <v>477</v>
      </c>
    </row>
    <row r="64" spans="1:7" s="98" customFormat="1">
      <c r="A64" s="97">
        <v>64</v>
      </c>
      <c r="B64" s="98" t="s">
        <v>414</v>
      </c>
      <c r="C64" s="99" t="s">
        <v>484</v>
      </c>
      <c r="E64" s="101" t="s">
        <v>491</v>
      </c>
      <c r="F64" s="101"/>
      <c r="G64" s="101" t="s">
        <v>505</v>
      </c>
    </row>
    <row r="65" spans="1:7" s="98" customFormat="1">
      <c r="A65" s="97">
        <v>65</v>
      </c>
      <c r="B65" s="98" t="s">
        <v>414</v>
      </c>
      <c r="C65" s="99" t="s">
        <v>501</v>
      </c>
      <c r="E65" s="101" t="s">
        <v>503</v>
      </c>
      <c r="F65" s="101"/>
      <c r="G65" s="101" t="s">
        <v>504</v>
      </c>
    </row>
    <row r="66" spans="1:7" s="98" customFormat="1">
      <c r="A66" s="97">
        <v>66</v>
      </c>
      <c r="B66" s="98" t="s">
        <v>414</v>
      </c>
      <c r="C66" s="99" t="s">
        <v>287</v>
      </c>
      <c r="E66" s="101" t="s">
        <v>762</v>
      </c>
      <c r="F66" s="101"/>
      <c r="G66" s="101" t="s">
        <v>289</v>
      </c>
    </row>
    <row r="67" spans="1:7" s="98" customFormat="1">
      <c r="A67" s="97">
        <v>67</v>
      </c>
      <c r="C67" s="99"/>
      <c r="D67" s="101"/>
      <c r="E67" s="101"/>
      <c r="F67" s="101"/>
      <c r="G67" s="103"/>
    </row>
    <row r="68" spans="1:7" s="98" customFormat="1">
      <c r="A68" s="97">
        <v>68</v>
      </c>
      <c r="B68" s="98" t="s">
        <v>307</v>
      </c>
      <c r="C68" s="99" t="s">
        <v>311</v>
      </c>
      <c r="D68" s="104" t="s">
        <v>315</v>
      </c>
      <c r="E68" s="101" t="s">
        <v>578</v>
      </c>
      <c r="G68" s="103"/>
    </row>
    <row r="69" spans="1:7" s="98" customFormat="1">
      <c r="A69" s="97">
        <v>69</v>
      </c>
      <c r="B69" s="98" t="s">
        <v>307</v>
      </c>
      <c r="C69" s="99" t="s">
        <v>314</v>
      </c>
      <c r="D69" s="104" t="s">
        <v>342</v>
      </c>
      <c r="E69" s="101" t="s">
        <v>579</v>
      </c>
      <c r="G69" s="103"/>
    </row>
    <row r="70" spans="1:7" s="98" customFormat="1">
      <c r="A70" s="97">
        <v>70</v>
      </c>
      <c r="B70" s="98" t="s">
        <v>307</v>
      </c>
      <c r="C70" s="99" t="s">
        <v>397</v>
      </c>
      <c r="D70" s="104" t="s">
        <v>312</v>
      </c>
      <c r="E70" s="101" t="s">
        <v>396</v>
      </c>
      <c r="G70" s="103"/>
    </row>
    <row r="71" spans="1:7" s="98" customFormat="1">
      <c r="A71" s="97">
        <v>71</v>
      </c>
      <c r="B71" s="98" t="s">
        <v>307</v>
      </c>
      <c r="C71" s="99" t="s">
        <v>398</v>
      </c>
      <c r="D71" s="104" t="s">
        <v>313</v>
      </c>
      <c r="E71" s="101" t="s">
        <v>395</v>
      </c>
      <c r="G71" s="103"/>
    </row>
    <row r="72" spans="1:7" s="98" customFormat="1">
      <c r="A72" s="97">
        <v>72</v>
      </c>
      <c r="B72" s="98" t="s">
        <v>307</v>
      </c>
      <c r="C72" s="99" t="s">
        <v>418</v>
      </c>
      <c r="D72" s="104" t="s">
        <v>315</v>
      </c>
      <c r="E72" s="101" t="s">
        <v>417</v>
      </c>
      <c r="G72" s="103"/>
    </row>
    <row r="73" spans="1:7" s="98" customFormat="1">
      <c r="A73" s="97">
        <v>73</v>
      </c>
      <c r="B73" s="98" t="s">
        <v>307</v>
      </c>
      <c r="C73" s="99" t="s">
        <v>419</v>
      </c>
      <c r="D73" s="104" t="s">
        <v>315</v>
      </c>
      <c r="E73" s="101" t="s">
        <v>399</v>
      </c>
      <c r="G73" s="103"/>
    </row>
    <row r="74" spans="1:7" s="98" customFormat="1">
      <c r="A74" s="97">
        <v>74</v>
      </c>
      <c r="B74" s="98" t="s">
        <v>307</v>
      </c>
      <c r="C74" s="99" t="s">
        <v>420</v>
      </c>
      <c r="D74" s="104" t="s">
        <v>402</v>
      </c>
      <c r="E74" s="101" t="s">
        <v>400</v>
      </c>
      <c r="G74" s="103"/>
    </row>
    <row r="75" spans="1:7" s="98" customFormat="1">
      <c r="A75" s="97">
        <v>75</v>
      </c>
      <c r="B75" s="98" t="s">
        <v>307</v>
      </c>
      <c r="C75" s="99" t="s">
        <v>421</v>
      </c>
      <c r="D75" s="104" t="s">
        <v>403</v>
      </c>
      <c r="E75" s="101" t="s">
        <v>401</v>
      </c>
      <c r="G75" s="103"/>
    </row>
    <row r="76" spans="1:7" s="98" customFormat="1">
      <c r="A76" s="97">
        <v>76</v>
      </c>
      <c r="B76" s="98" t="s">
        <v>307</v>
      </c>
      <c r="C76" s="99" t="s">
        <v>436</v>
      </c>
      <c r="D76" s="105">
        <v>3</v>
      </c>
      <c r="E76" s="101" t="s">
        <v>432</v>
      </c>
      <c r="G76" s="103"/>
    </row>
    <row r="77" spans="1:7" s="98" customFormat="1">
      <c r="A77" s="97">
        <v>77</v>
      </c>
      <c r="B77" s="98" t="s">
        <v>307</v>
      </c>
      <c r="C77" s="99" t="s">
        <v>437</v>
      </c>
      <c r="D77" s="104" t="s">
        <v>337</v>
      </c>
      <c r="E77" s="101" t="s">
        <v>445</v>
      </c>
      <c r="G77" s="103"/>
    </row>
    <row r="78" spans="1:7" s="98" customFormat="1">
      <c r="A78" s="97">
        <v>78</v>
      </c>
      <c r="B78" s="98" t="s">
        <v>307</v>
      </c>
      <c r="C78" s="99" t="s">
        <v>438</v>
      </c>
      <c r="D78" s="105">
        <v>4</v>
      </c>
      <c r="E78" s="101" t="s">
        <v>443</v>
      </c>
      <c r="G78" s="103"/>
    </row>
    <row r="79" spans="1:7" s="98" customFormat="1">
      <c r="A79" s="97">
        <v>79</v>
      </c>
      <c r="B79" s="98" t="s">
        <v>307</v>
      </c>
      <c r="C79" s="99" t="s">
        <v>319</v>
      </c>
      <c r="D79" s="105">
        <v>1</v>
      </c>
      <c r="E79" s="101" t="s">
        <v>433</v>
      </c>
      <c r="G79" s="103"/>
    </row>
    <row r="80" spans="1:7" s="98" customFormat="1">
      <c r="A80" s="97">
        <v>80</v>
      </c>
      <c r="B80" s="98" t="s">
        <v>307</v>
      </c>
      <c r="C80" s="99" t="s">
        <v>335</v>
      </c>
      <c r="D80" s="105">
        <v>1</v>
      </c>
      <c r="E80" s="101" t="s">
        <v>434</v>
      </c>
      <c r="G80" s="103"/>
    </row>
    <row r="81" spans="1:8" s="98" customFormat="1">
      <c r="A81" s="97">
        <v>81</v>
      </c>
      <c r="B81" s="98" t="s">
        <v>307</v>
      </c>
      <c r="C81" s="99" t="s">
        <v>336</v>
      </c>
      <c r="D81" s="105">
        <v>0</v>
      </c>
      <c r="E81" s="101" t="s">
        <v>435</v>
      </c>
      <c r="G81" s="103"/>
    </row>
    <row r="82" spans="1:8" s="98" customFormat="1">
      <c r="A82" s="97">
        <v>82</v>
      </c>
      <c r="B82" s="98" t="s">
        <v>307</v>
      </c>
      <c r="C82" s="99" t="s">
        <v>439</v>
      </c>
      <c r="D82" s="105">
        <v>50</v>
      </c>
      <c r="E82" s="101" t="s">
        <v>344</v>
      </c>
      <c r="G82" s="103"/>
    </row>
    <row r="83" spans="1:8" s="98" customFormat="1">
      <c r="A83" s="97">
        <v>83</v>
      </c>
      <c r="B83" s="98" t="s">
        <v>307</v>
      </c>
      <c r="C83" s="99" t="s">
        <v>440</v>
      </c>
      <c r="D83" s="105">
        <v>20</v>
      </c>
      <c r="E83" s="101" t="s">
        <v>345</v>
      </c>
      <c r="G83" s="103"/>
    </row>
    <row r="84" spans="1:8" s="98" customFormat="1">
      <c r="A84" s="97">
        <v>84</v>
      </c>
      <c r="B84" s="98" t="s">
        <v>307</v>
      </c>
      <c r="C84" s="99" t="s">
        <v>441</v>
      </c>
      <c r="D84" s="104">
        <v>6.25</v>
      </c>
      <c r="E84" s="101" t="s">
        <v>346</v>
      </c>
      <c r="G84" s="103"/>
    </row>
    <row r="85" spans="1:8" s="98" customFormat="1">
      <c r="A85" s="97">
        <v>85</v>
      </c>
      <c r="B85" s="98" t="s">
        <v>307</v>
      </c>
      <c r="C85" s="99" t="s">
        <v>341</v>
      </c>
      <c r="D85" s="104" t="s">
        <v>315</v>
      </c>
      <c r="E85" s="101" t="s">
        <v>580</v>
      </c>
      <c r="G85" s="103"/>
    </row>
    <row r="86" spans="1:8" s="98" customFormat="1">
      <c r="A86" s="97">
        <v>86</v>
      </c>
      <c r="B86" s="98" t="s">
        <v>307</v>
      </c>
      <c r="C86" s="99" t="s">
        <v>390</v>
      </c>
      <c r="D86" s="104" t="s">
        <v>315</v>
      </c>
      <c r="E86" s="101" t="s">
        <v>347</v>
      </c>
      <c r="G86" s="103"/>
    </row>
    <row r="87" spans="1:8" s="98" customFormat="1">
      <c r="A87" s="97">
        <v>87</v>
      </c>
      <c r="B87" s="98" t="s">
        <v>307</v>
      </c>
      <c r="C87" s="99" t="s">
        <v>391</v>
      </c>
      <c r="D87" s="104" t="s">
        <v>312</v>
      </c>
      <c r="E87" s="101" t="s">
        <v>447</v>
      </c>
      <c r="G87" s="103"/>
    </row>
    <row r="88" spans="1:8" s="98" customFormat="1">
      <c r="A88" s="97">
        <v>88</v>
      </c>
      <c r="B88" s="98" t="s">
        <v>307</v>
      </c>
      <c r="C88" s="99" t="s">
        <v>442</v>
      </c>
      <c r="D88" s="104" t="s">
        <v>313</v>
      </c>
      <c r="E88" s="106" t="s">
        <v>448</v>
      </c>
      <c r="G88" s="103"/>
    </row>
    <row r="89" spans="1:8" s="98" customFormat="1">
      <c r="A89" s="97">
        <v>89</v>
      </c>
      <c r="B89" s="98" t="s">
        <v>307</v>
      </c>
      <c r="C89" s="99" t="s">
        <v>485</v>
      </c>
      <c r="D89" s="104">
        <v>0.6</v>
      </c>
      <c r="E89" s="106" t="s">
        <v>497</v>
      </c>
      <c r="G89" s="103"/>
    </row>
    <row r="90" spans="1:8" s="98" customFormat="1">
      <c r="A90" s="97">
        <v>90</v>
      </c>
      <c r="B90" s="98" t="s">
        <v>307</v>
      </c>
      <c r="C90" s="99" t="s">
        <v>486</v>
      </c>
      <c r="D90" s="104">
        <v>1.2</v>
      </c>
      <c r="E90" s="106" t="s">
        <v>494</v>
      </c>
      <c r="G90" s="103"/>
    </row>
    <row r="91" spans="1:8" s="98" customFormat="1">
      <c r="A91" s="97">
        <v>91</v>
      </c>
      <c r="B91" s="98" t="s">
        <v>307</v>
      </c>
      <c r="C91" s="99" t="s">
        <v>487</v>
      </c>
      <c r="D91" s="104">
        <v>0.6</v>
      </c>
      <c r="E91" s="106" t="s">
        <v>495</v>
      </c>
      <c r="G91" s="103"/>
    </row>
    <row r="92" spans="1:8" s="98" customFormat="1">
      <c r="A92" s="97">
        <v>92</v>
      </c>
      <c r="B92" s="98" t="s">
        <v>307</v>
      </c>
      <c r="C92" s="99" t="s">
        <v>488</v>
      </c>
      <c r="D92" s="104">
        <v>0.6</v>
      </c>
      <c r="E92" s="106" t="s">
        <v>496</v>
      </c>
      <c r="G92" s="103"/>
    </row>
    <row r="93" spans="1:8" s="98" customFormat="1">
      <c r="A93" s="97">
        <v>93</v>
      </c>
      <c r="B93" s="98" t="s">
        <v>307</v>
      </c>
      <c r="C93" s="99" t="s">
        <v>489</v>
      </c>
      <c r="D93" s="105">
        <v>8</v>
      </c>
      <c r="E93" s="106" t="s">
        <v>555</v>
      </c>
      <c r="G93" s="103"/>
    </row>
    <row r="94" spans="1:8" s="98" customFormat="1">
      <c r="A94" s="97">
        <v>94</v>
      </c>
      <c r="B94" s="98" t="s">
        <v>307</v>
      </c>
      <c r="C94" s="99" t="s">
        <v>527</v>
      </c>
      <c r="D94" s="104">
        <v>0.75</v>
      </c>
      <c r="E94" s="106" t="s">
        <v>498</v>
      </c>
      <c r="G94" s="103"/>
    </row>
    <row r="95" spans="1:8" s="98" customFormat="1">
      <c r="A95" s="97">
        <v>95</v>
      </c>
      <c r="C95" s="99"/>
      <c r="D95" s="107"/>
      <c r="E95" s="106"/>
      <c r="G95" s="103"/>
    </row>
    <row r="96" spans="1:8">
      <c r="A96" s="97">
        <v>96</v>
      </c>
      <c r="B96" s="98" t="s">
        <v>307</v>
      </c>
      <c r="C96" s="99" t="s">
        <v>462</v>
      </c>
      <c r="D96" s="105">
        <v>600</v>
      </c>
      <c r="E96" s="101" t="s">
        <v>463</v>
      </c>
      <c r="G96" s="109"/>
      <c r="H96" s="110"/>
    </row>
    <row r="97" spans="1:8">
      <c r="A97" s="97">
        <v>97</v>
      </c>
      <c r="B97" s="98" t="s">
        <v>307</v>
      </c>
      <c r="C97" s="99" t="s">
        <v>465</v>
      </c>
      <c r="D97" s="105">
        <v>40</v>
      </c>
      <c r="E97" s="101" t="s">
        <v>464</v>
      </c>
      <c r="G97" s="109"/>
      <c r="H97" s="110"/>
    </row>
    <row r="98" spans="1:8" s="98" customFormat="1">
      <c r="A98" s="97">
        <v>98</v>
      </c>
      <c r="C98" s="99"/>
      <c r="D98" s="111"/>
      <c r="E98" s="101"/>
      <c r="G98" s="109"/>
      <c r="H98" s="103"/>
    </row>
    <row r="99" spans="1:8">
      <c r="A99" s="97">
        <v>99</v>
      </c>
      <c r="B99" s="98" t="s">
        <v>307</v>
      </c>
      <c r="C99" s="99" t="s">
        <v>334</v>
      </c>
      <c r="D99" s="104" t="s">
        <v>333</v>
      </c>
      <c r="E99" s="101" t="s">
        <v>406</v>
      </c>
    </row>
    <row r="100" spans="1:8">
      <c r="A100" s="97">
        <v>100</v>
      </c>
      <c r="B100" s="98" t="s">
        <v>307</v>
      </c>
      <c r="C100" s="99" t="s">
        <v>404</v>
      </c>
      <c r="D100" s="104" t="s">
        <v>405</v>
      </c>
      <c r="E100" s="101" t="s">
        <v>407</v>
      </c>
    </row>
    <row r="101" spans="1:8">
      <c r="A101" s="97">
        <v>101</v>
      </c>
      <c r="B101" s="98" t="s">
        <v>307</v>
      </c>
      <c r="C101" s="99" t="s">
        <v>452</v>
      </c>
      <c r="D101" s="105">
        <v>15</v>
      </c>
      <c r="E101" s="101" t="s">
        <v>451</v>
      </c>
    </row>
    <row r="102" spans="1:8">
      <c r="A102" s="97">
        <v>102</v>
      </c>
      <c r="B102" s="98" t="s">
        <v>307</v>
      </c>
      <c r="C102" s="99" t="s">
        <v>392</v>
      </c>
      <c r="D102" s="104" t="s">
        <v>333</v>
      </c>
      <c r="E102" s="101" t="s">
        <v>408</v>
      </c>
    </row>
    <row r="103" spans="1:8" s="98" customFormat="1">
      <c r="A103" s="97">
        <v>103</v>
      </c>
      <c r="C103" s="99"/>
      <c r="D103" s="112"/>
      <c r="E103" s="101"/>
      <c r="G103" s="103"/>
    </row>
    <row r="104" spans="1:8">
      <c r="A104" s="97">
        <v>104</v>
      </c>
      <c r="B104" s="98" t="s">
        <v>307</v>
      </c>
      <c r="C104" s="113" t="s">
        <v>674</v>
      </c>
      <c r="D104" s="114" t="s">
        <v>672</v>
      </c>
      <c r="E104" s="114" t="s">
        <v>673</v>
      </c>
      <c r="F104" s="108" t="s">
        <v>677</v>
      </c>
    </row>
    <row r="105" spans="1:8">
      <c r="A105" s="97">
        <v>105</v>
      </c>
      <c r="B105" s="98" t="s">
        <v>307</v>
      </c>
      <c r="C105" s="113" t="s">
        <v>729</v>
      </c>
      <c r="D105" s="114" t="s">
        <v>672</v>
      </c>
      <c r="E105" s="114" t="s">
        <v>673</v>
      </c>
      <c r="F105" s="108" t="s">
        <v>730</v>
      </c>
    </row>
    <row r="106" spans="1:8">
      <c r="A106" s="97">
        <v>106</v>
      </c>
      <c r="B106" s="98" t="s">
        <v>307</v>
      </c>
      <c r="C106" s="113" t="s">
        <v>675</v>
      </c>
      <c r="D106" s="114" t="s">
        <v>315</v>
      </c>
      <c r="E106" s="114" t="s">
        <v>672</v>
      </c>
      <c r="F106" s="108" t="s">
        <v>676</v>
      </c>
    </row>
    <row r="107" spans="1:8">
      <c r="A107" s="97">
        <v>107</v>
      </c>
      <c r="B107" s="98" t="s">
        <v>307</v>
      </c>
      <c r="C107" s="113" t="s">
        <v>678</v>
      </c>
      <c r="D107" s="114" t="s">
        <v>682</v>
      </c>
      <c r="E107" s="114" t="s">
        <v>683</v>
      </c>
      <c r="F107" s="108" t="s">
        <v>680</v>
      </c>
    </row>
    <row r="108" spans="1:8">
      <c r="A108" s="97">
        <v>108</v>
      </c>
      <c r="B108" s="98" t="s">
        <v>307</v>
      </c>
      <c r="C108" s="113" t="s">
        <v>749</v>
      </c>
      <c r="D108" s="114" t="s">
        <v>337</v>
      </c>
      <c r="E108" s="114" t="s">
        <v>673</v>
      </c>
      <c r="F108" s="108" t="s">
        <v>750</v>
      </c>
    </row>
    <row r="109" spans="1:8">
      <c r="A109" s="97">
        <v>109</v>
      </c>
      <c r="B109" s="98" t="s">
        <v>307</v>
      </c>
      <c r="C109" s="113" t="s">
        <v>679</v>
      </c>
      <c r="D109" s="114" t="s">
        <v>315</v>
      </c>
      <c r="E109" s="114" t="s">
        <v>672</v>
      </c>
      <c r="F109" s="108" t="s">
        <v>681</v>
      </c>
    </row>
    <row r="110" spans="1:8">
      <c r="A110" s="97">
        <v>110</v>
      </c>
      <c r="B110" s="98" t="s">
        <v>307</v>
      </c>
      <c r="C110" s="113" t="s">
        <v>684</v>
      </c>
      <c r="D110" s="114" t="s">
        <v>700</v>
      </c>
      <c r="E110" s="114" t="s">
        <v>701</v>
      </c>
      <c r="F110" s="108" t="s">
        <v>688</v>
      </c>
    </row>
    <row r="111" spans="1:8">
      <c r="A111" s="97">
        <v>111</v>
      </c>
      <c r="B111" s="98" t="s">
        <v>307</v>
      </c>
      <c r="C111" s="113" t="s">
        <v>731</v>
      </c>
      <c r="D111" s="114" t="s">
        <v>741</v>
      </c>
      <c r="E111" s="114" t="s">
        <v>742</v>
      </c>
      <c r="F111" s="108" t="s">
        <v>732</v>
      </c>
    </row>
    <row r="112" spans="1:8">
      <c r="A112" s="97">
        <v>112</v>
      </c>
      <c r="B112" s="98" t="s">
        <v>307</v>
      </c>
      <c r="C112" s="113" t="s">
        <v>685</v>
      </c>
      <c r="D112" s="114" t="s">
        <v>342</v>
      </c>
      <c r="E112" s="114" t="s">
        <v>702</v>
      </c>
      <c r="F112" s="108" t="s">
        <v>689</v>
      </c>
    </row>
    <row r="113" spans="1:6">
      <c r="A113" s="97">
        <v>113</v>
      </c>
      <c r="B113" s="98" t="s">
        <v>307</v>
      </c>
      <c r="C113" s="113" t="s">
        <v>691</v>
      </c>
      <c r="D113" s="114" t="s">
        <v>672</v>
      </c>
      <c r="E113" s="114" t="s">
        <v>673</v>
      </c>
      <c r="F113" s="108" t="s">
        <v>692</v>
      </c>
    </row>
    <row r="114" spans="1:6">
      <c r="A114" s="97">
        <v>114</v>
      </c>
      <c r="B114" s="98" t="s">
        <v>307</v>
      </c>
      <c r="C114" s="113" t="s">
        <v>733</v>
      </c>
      <c r="D114" s="114" t="s">
        <v>743</v>
      </c>
      <c r="E114" s="114" t="s">
        <v>744</v>
      </c>
      <c r="F114" s="108" t="s">
        <v>734</v>
      </c>
    </row>
    <row r="115" spans="1:6">
      <c r="A115" s="97">
        <v>115</v>
      </c>
      <c r="B115" s="98" t="s">
        <v>307</v>
      </c>
      <c r="C115" s="113" t="s">
        <v>695</v>
      </c>
      <c r="D115" s="114" t="s">
        <v>342</v>
      </c>
      <c r="E115" s="114" t="s">
        <v>702</v>
      </c>
      <c r="F115" s="108" t="s">
        <v>693</v>
      </c>
    </row>
    <row r="116" spans="1:6">
      <c r="A116" s="97">
        <v>116</v>
      </c>
      <c r="B116" s="98" t="s">
        <v>307</v>
      </c>
      <c r="C116" s="113" t="s">
        <v>686</v>
      </c>
      <c r="D116" s="114" t="s">
        <v>703</v>
      </c>
      <c r="E116" s="114" t="s">
        <v>704</v>
      </c>
      <c r="F116" s="108" t="s">
        <v>698</v>
      </c>
    </row>
    <row r="117" spans="1:6">
      <c r="A117" s="97">
        <v>117</v>
      </c>
      <c r="B117" s="98" t="s">
        <v>307</v>
      </c>
      <c r="C117" s="113" t="s">
        <v>735</v>
      </c>
      <c r="D117" s="114" t="s">
        <v>745</v>
      </c>
      <c r="E117" s="114" t="s">
        <v>746</v>
      </c>
      <c r="F117" s="108" t="s">
        <v>736</v>
      </c>
    </row>
    <row r="118" spans="1:6">
      <c r="A118" s="97">
        <v>118</v>
      </c>
      <c r="B118" s="98" t="s">
        <v>307</v>
      </c>
      <c r="C118" s="113" t="s">
        <v>687</v>
      </c>
      <c r="D118" s="114" t="s">
        <v>705</v>
      </c>
      <c r="E118" s="114" t="s">
        <v>706</v>
      </c>
      <c r="F118" s="108" t="s">
        <v>690</v>
      </c>
    </row>
    <row r="119" spans="1:6">
      <c r="A119" s="97">
        <v>119</v>
      </c>
      <c r="B119" s="98" t="s">
        <v>307</v>
      </c>
      <c r="C119" s="113" t="s">
        <v>696</v>
      </c>
      <c r="D119" s="114" t="s">
        <v>682</v>
      </c>
      <c r="E119" s="114" t="s">
        <v>683</v>
      </c>
      <c r="F119" s="108" t="s">
        <v>699</v>
      </c>
    </row>
    <row r="120" spans="1:6">
      <c r="A120" s="97">
        <v>120</v>
      </c>
      <c r="B120" s="98" t="s">
        <v>307</v>
      </c>
      <c r="C120" s="113" t="s">
        <v>737</v>
      </c>
      <c r="D120" s="114" t="s">
        <v>706</v>
      </c>
      <c r="E120" s="114" t="s">
        <v>747</v>
      </c>
      <c r="F120" s="108" t="s">
        <v>738</v>
      </c>
    </row>
    <row r="121" spans="1:6">
      <c r="A121" s="97">
        <v>121</v>
      </c>
      <c r="B121" s="98" t="s">
        <v>307</v>
      </c>
      <c r="C121" s="113" t="s">
        <v>697</v>
      </c>
      <c r="D121" s="114" t="s">
        <v>705</v>
      </c>
      <c r="E121" s="114" t="s">
        <v>706</v>
      </c>
      <c r="F121" s="108" t="s">
        <v>694</v>
      </c>
    </row>
    <row r="122" spans="1:6">
      <c r="A122" s="97">
        <v>122</v>
      </c>
      <c r="B122" s="98" t="s">
        <v>307</v>
      </c>
      <c r="C122" s="113" t="s">
        <v>707</v>
      </c>
      <c r="D122" s="114" t="s">
        <v>672</v>
      </c>
      <c r="E122" s="114" t="s">
        <v>673</v>
      </c>
      <c r="F122" s="108" t="s">
        <v>709</v>
      </c>
    </row>
    <row r="123" spans="1:6">
      <c r="A123" s="97">
        <v>123</v>
      </c>
      <c r="B123" s="98" t="s">
        <v>307</v>
      </c>
      <c r="C123" s="113" t="s">
        <v>739</v>
      </c>
      <c r="D123" s="114" t="s">
        <v>748</v>
      </c>
      <c r="E123" s="114" t="s">
        <v>747</v>
      </c>
      <c r="F123" s="108" t="s">
        <v>740</v>
      </c>
    </row>
    <row r="124" spans="1:6">
      <c r="A124" s="97">
        <v>124</v>
      </c>
      <c r="B124" s="98" t="s">
        <v>307</v>
      </c>
      <c r="C124" s="113" t="s">
        <v>708</v>
      </c>
      <c r="D124" s="114" t="s">
        <v>705</v>
      </c>
      <c r="E124" s="114" t="s">
        <v>706</v>
      </c>
      <c r="F124" s="108" t="s">
        <v>710</v>
      </c>
    </row>
  </sheetData>
  <sheetProtection formatCells="0" formatColumns="0" formatRows="0" insertColumns="0" insertRows="0" insertHyperlinks="0" deleteColumns="0" deleteRows="0" sort="0" autoFilter="0"/>
  <sortState ref="A115:H126">
    <sortCondition ref="C115:C126"/>
  </sortState>
  <mergeCells count="1">
    <mergeCell ref="D1:F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zoomScaleNormal="100" workbookViewId="0">
      <pane ySplit="1" topLeftCell="A2" activePane="bottomLeft" state="frozen"/>
      <selection pane="bottomLeft"/>
    </sheetView>
  </sheetViews>
  <sheetFormatPr defaultColWidth="10.875" defaultRowHeight="15"/>
  <cols>
    <col min="1" max="1" width="15.875" style="6" bestFit="1" customWidth="1"/>
    <col min="2" max="2" width="9.875" style="118" customWidth="1"/>
    <col min="3" max="4" width="10" style="118" customWidth="1"/>
    <col min="5" max="5" width="40.375" style="118" customWidth="1"/>
    <col min="6" max="6" width="10.625" style="71" customWidth="1"/>
    <col min="7" max="7" width="13" style="71" customWidth="1"/>
    <col min="8" max="8" width="9.5" style="71" customWidth="1"/>
    <col min="9" max="9" width="11.625" style="71" customWidth="1"/>
    <col min="10" max="10" width="14" style="71" customWidth="1"/>
    <col min="11" max="11" width="11.625" style="71" customWidth="1"/>
    <col min="12" max="12" width="13.5" style="71" customWidth="1"/>
    <col min="13" max="13" width="15.375" style="71" customWidth="1"/>
    <col min="14" max="14" width="20" style="4" customWidth="1"/>
    <col min="15" max="15" width="22.5" style="4" customWidth="1"/>
    <col min="16" max="16" width="19.375" style="5" customWidth="1"/>
    <col min="17" max="16384" width="10.875" style="117"/>
  </cols>
  <sheetData>
    <row r="1" spans="1:16" s="116" customFormat="1" ht="30">
      <c r="A1" s="3" t="s">
        <v>360</v>
      </c>
      <c r="B1" s="1" t="s">
        <v>205</v>
      </c>
      <c r="C1" s="1" t="s">
        <v>256</v>
      </c>
      <c r="D1" s="1" t="s">
        <v>257</v>
      </c>
      <c r="E1" s="36" t="s">
        <v>206</v>
      </c>
      <c r="F1" s="1" t="s">
        <v>258</v>
      </c>
      <c r="G1" s="1" t="s">
        <v>308</v>
      </c>
      <c r="H1" s="1" t="s">
        <v>204</v>
      </c>
      <c r="I1" s="1" t="s">
        <v>356</v>
      </c>
      <c r="J1" s="1" t="s">
        <v>357</v>
      </c>
      <c r="K1" s="1" t="s">
        <v>358</v>
      </c>
      <c r="L1" s="1" t="s">
        <v>359</v>
      </c>
      <c r="M1" s="1" t="s">
        <v>588</v>
      </c>
      <c r="N1" s="3" t="s">
        <v>423</v>
      </c>
      <c r="O1" s="3" t="s">
        <v>369</v>
      </c>
      <c r="P1" s="3" t="s">
        <v>370</v>
      </c>
    </row>
    <row r="2" spans="1:16">
      <c r="A2" s="6" t="str">
        <f>CONCATENATE(B2,F2)</f>
        <v>ECON1010S1</v>
      </c>
      <c r="B2" s="47" t="s">
        <v>56</v>
      </c>
      <c r="C2" s="46"/>
      <c r="D2" s="46"/>
      <c r="E2" s="47" t="s">
        <v>57</v>
      </c>
      <c r="F2" s="71" t="s">
        <v>253</v>
      </c>
      <c r="G2" s="71" t="s">
        <v>252</v>
      </c>
      <c r="I2" s="71">
        <v>13</v>
      </c>
      <c r="J2" s="71">
        <v>2</v>
      </c>
      <c r="K2" s="71">
        <v>12</v>
      </c>
      <c r="L2" s="71">
        <v>1</v>
      </c>
      <c r="M2" s="71">
        <v>682</v>
      </c>
      <c r="N2" s="4">
        <f>COUNTIF(C2:D2,"*")</f>
        <v>0</v>
      </c>
      <c r="O2" s="4">
        <f>IF(J2&gt;0,IF(ROUNDUP(M2/Weights!$D$96,0)&gt;1,1,0),0)</f>
        <v>1</v>
      </c>
      <c r="P2" s="4">
        <f>IF(L2&gt;0,ROUNDUP(M2/Weights!$D$97,0),0)</f>
        <v>18</v>
      </c>
    </row>
    <row r="3" spans="1:16">
      <c r="A3" s="6" t="str">
        <f>CONCATENATE(B3,F3)</f>
        <v>ECON1010S2</v>
      </c>
      <c r="B3" s="47" t="s">
        <v>56</v>
      </c>
      <c r="C3" s="47"/>
      <c r="D3" s="47"/>
      <c r="E3" s="47" t="s">
        <v>57</v>
      </c>
      <c r="F3" s="71" t="s">
        <v>254</v>
      </c>
      <c r="G3" s="71" t="s">
        <v>252</v>
      </c>
      <c r="I3" s="71">
        <v>13</v>
      </c>
      <c r="J3" s="71">
        <v>2</v>
      </c>
      <c r="K3" s="71">
        <v>12</v>
      </c>
      <c r="L3" s="71">
        <v>1</v>
      </c>
      <c r="M3" s="71">
        <v>428</v>
      </c>
      <c r="N3" s="4">
        <f>COUNTIF(C3:D3,"*")</f>
        <v>0</v>
      </c>
      <c r="O3" s="4">
        <f>IF(J3&gt;0,IF(ROUNDUP(M3/Weights!$D$96,0)&gt;1,1,0),0)</f>
        <v>0</v>
      </c>
      <c r="P3" s="4">
        <f>IF(L3&gt;0,ROUNDUP(M3/Weights!$D$97,0),0)</f>
        <v>11</v>
      </c>
    </row>
    <row r="4" spans="1:16">
      <c r="A4" s="6" t="str">
        <f>CONCATENATE(B4,F4)</f>
        <v>ECON1010S3</v>
      </c>
      <c r="B4" s="47" t="s">
        <v>56</v>
      </c>
      <c r="C4" s="47"/>
      <c r="D4" s="47"/>
      <c r="E4" s="47" t="s">
        <v>57</v>
      </c>
      <c r="F4" s="71" t="s">
        <v>255</v>
      </c>
      <c r="I4" s="71">
        <v>12</v>
      </c>
      <c r="J4" s="71">
        <v>2</v>
      </c>
      <c r="K4" s="71">
        <v>12</v>
      </c>
      <c r="L4" s="71">
        <v>1</v>
      </c>
      <c r="M4" s="71">
        <v>221</v>
      </c>
      <c r="N4" s="4">
        <f>COUNTIF(C4:D4,"*")</f>
        <v>0</v>
      </c>
      <c r="O4" s="4">
        <f>IF(J4&gt;0,IF(ROUNDUP(M4/Weights!$D$96,0)&gt;1,1,0),0)</f>
        <v>0</v>
      </c>
      <c r="P4" s="4">
        <f>IF(L4&gt;0,ROUNDUP(M4/Weights!$D$97,0),0)</f>
        <v>6</v>
      </c>
    </row>
    <row r="5" spans="1:16">
      <c r="A5" s="6" t="str">
        <f>CONCATENATE(B5,F5)</f>
        <v>ECON1011S1</v>
      </c>
      <c r="B5" s="47" t="s">
        <v>207</v>
      </c>
      <c r="C5" s="46"/>
      <c r="D5" s="46"/>
      <c r="E5" s="47" t="s">
        <v>208</v>
      </c>
      <c r="F5" s="71" t="s">
        <v>253</v>
      </c>
      <c r="G5" s="71" t="s">
        <v>252</v>
      </c>
      <c r="I5" s="71">
        <v>13</v>
      </c>
      <c r="J5" s="71">
        <v>2</v>
      </c>
      <c r="K5" s="71">
        <v>12</v>
      </c>
      <c r="L5" s="71">
        <v>1</v>
      </c>
      <c r="M5" s="71">
        <v>491</v>
      </c>
      <c r="N5" s="4">
        <f>COUNTIF(C5:D5,"*")</f>
        <v>0</v>
      </c>
      <c r="O5" s="4">
        <f>IF(J5&gt;0,IF(ROUNDUP(M5/Weights!$D$96,0)&gt;1,1,0),0)</f>
        <v>0</v>
      </c>
      <c r="P5" s="4">
        <f>IF(L5&gt;0,ROUNDUP(M5/Weights!$D$97,0),0)</f>
        <v>13</v>
      </c>
    </row>
    <row r="6" spans="1:16">
      <c r="A6" s="6" t="str">
        <f>CONCATENATE(B6,F6)</f>
        <v>ECON1011S2</v>
      </c>
      <c r="B6" s="47" t="s">
        <v>207</v>
      </c>
      <c r="C6" s="47"/>
      <c r="D6" s="47"/>
      <c r="E6" s="47" t="s">
        <v>208</v>
      </c>
      <c r="F6" s="71" t="s">
        <v>254</v>
      </c>
      <c r="G6" s="71" t="s">
        <v>252</v>
      </c>
      <c r="I6" s="71">
        <v>13</v>
      </c>
      <c r="J6" s="71">
        <v>2</v>
      </c>
      <c r="K6" s="71">
        <v>12</v>
      </c>
      <c r="L6" s="71">
        <v>1</v>
      </c>
      <c r="M6" s="71">
        <v>621</v>
      </c>
      <c r="N6" s="4">
        <f>COUNTIF(C6:D6,"*")</f>
        <v>0</v>
      </c>
      <c r="O6" s="4">
        <f>IF(J6&gt;0,IF(ROUNDUP(M6/Weights!$D$96,0)&gt;1,1,0),0)</f>
        <v>1</v>
      </c>
      <c r="P6" s="4">
        <f>IF(L6&gt;0,ROUNDUP(M6/Weights!$D$97,0),0)</f>
        <v>16</v>
      </c>
    </row>
    <row r="7" spans="1:16">
      <c r="A7" s="6" t="str">
        <f>CONCATENATE(B7,F7)</f>
        <v>ECON1020S1</v>
      </c>
      <c r="B7" s="47" t="s">
        <v>54</v>
      </c>
      <c r="C7" s="46"/>
      <c r="D7" s="46"/>
      <c r="E7" s="47" t="s">
        <v>55</v>
      </c>
      <c r="F7" s="71" t="s">
        <v>253</v>
      </c>
      <c r="G7" s="71" t="s">
        <v>252</v>
      </c>
      <c r="I7" s="71">
        <v>13</v>
      </c>
      <c r="J7" s="71">
        <v>2</v>
      </c>
      <c r="K7" s="71">
        <v>12</v>
      </c>
      <c r="L7" s="71">
        <v>2</v>
      </c>
      <c r="M7" s="71">
        <v>751</v>
      </c>
      <c r="N7" s="4">
        <f>COUNTIF(C7:D7,"*")</f>
        <v>0</v>
      </c>
      <c r="O7" s="4">
        <f>IF(J7&gt;0,IF(ROUNDUP(M7/Weights!$D$96,0)&gt;1,1,0),0)</f>
        <v>1</v>
      </c>
      <c r="P7" s="4">
        <f>IF(L7&gt;0,ROUNDUP(M7/Weights!$D$97,0),0)</f>
        <v>19</v>
      </c>
    </row>
    <row r="8" spans="1:16">
      <c r="A8" s="6" t="str">
        <f>CONCATENATE(B8,F8)</f>
        <v>ECON1020S2</v>
      </c>
      <c r="B8" s="47" t="s">
        <v>54</v>
      </c>
      <c r="C8" s="47"/>
      <c r="D8" s="47"/>
      <c r="E8" s="47" t="s">
        <v>55</v>
      </c>
      <c r="F8" s="71" t="s">
        <v>254</v>
      </c>
      <c r="G8" s="71" t="s">
        <v>252</v>
      </c>
      <c r="I8" s="71">
        <v>13</v>
      </c>
      <c r="J8" s="71">
        <v>2</v>
      </c>
      <c r="K8" s="71">
        <v>12</v>
      </c>
      <c r="L8" s="71">
        <v>2</v>
      </c>
      <c r="M8" s="71">
        <v>642</v>
      </c>
      <c r="N8" s="4">
        <f>COUNTIF(C8:D8,"*")</f>
        <v>0</v>
      </c>
      <c r="O8" s="4">
        <f>IF(J8&gt;0,IF(ROUNDUP(M8/Weights!$D$96,0)&gt;1,1,0),0)</f>
        <v>1</v>
      </c>
      <c r="P8" s="4">
        <f>IF(L8&gt;0,ROUNDUP(M8/Weights!$D$97,0),0)</f>
        <v>17</v>
      </c>
    </row>
    <row r="9" spans="1:16">
      <c r="A9" s="6" t="str">
        <f>CONCATENATE(B9,F9)</f>
        <v>ECON1020S3</v>
      </c>
      <c r="B9" s="47" t="s">
        <v>54</v>
      </c>
      <c r="C9" s="47"/>
      <c r="D9" s="47"/>
      <c r="E9" s="47" t="s">
        <v>55</v>
      </c>
      <c r="F9" s="71" t="s">
        <v>255</v>
      </c>
      <c r="I9" s="71">
        <v>12</v>
      </c>
      <c r="J9" s="71">
        <v>2</v>
      </c>
      <c r="K9" s="71">
        <v>12</v>
      </c>
      <c r="L9" s="71">
        <v>2</v>
      </c>
      <c r="M9" s="71">
        <v>184</v>
      </c>
      <c r="N9" s="4">
        <f>COUNTIF(C9:D9,"*")</f>
        <v>0</v>
      </c>
      <c r="O9" s="4">
        <f>IF(J9&gt;0,IF(ROUNDUP(M9/Weights!$D$96,0)&gt;1,1,0),0)</f>
        <v>0</v>
      </c>
      <c r="P9" s="4">
        <f>IF(L9&gt;0,ROUNDUP(M9/Weights!$D$97,0),0)</f>
        <v>5</v>
      </c>
    </row>
    <row r="10" spans="1:16">
      <c r="A10" s="6" t="str">
        <f>CONCATENATE(B10,F10)</f>
        <v>ECON1050S1</v>
      </c>
      <c r="B10" s="47" t="s">
        <v>72</v>
      </c>
      <c r="C10" s="46"/>
      <c r="D10" s="46"/>
      <c r="E10" s="47" t="s">
        <v>73</v>
      </c>
      <c r="F10" s="71" t="s">
        <v>253</v>
      </c>
      <c r="I10" s="71">
        <v>13</v>
      </c>
      <c r="J10" s="71">
        <v>2</v>
      </c>
      <c r="K10" s="71">
        <v>12</v>
      </c>
      <c r="L10" s="71">
        <v>1.5</v>
      </c>
      <c r="M10" s="71">
        <v>266</v>
      </c>
      <c r="N10" s="4">
        <f>COUNTIF(C10:D10,"*")</f>
        <v>0</v>
      </c>
      <c r="O10" s="4">
        <f>IF(J10&gt;0,IF(ROUNDUP(M10/Weights!$D$96,0)&gt;1,1,0),0)</f>
        <v>0</v>
      </c>
      <c r="P10" s="4">
        <f>IF(L10&gt;0,ROUNDUP(M10/Weights!$D$97,0),0)</f>
        <v>7</v>
      </c>
    </row>
    <row r="11" spans="1:16">
      <c r="A11" s="6" t="str">
        <f>CONCATENATE(B11,F11)</f>
        <v>ECON1050S2</v>
      </c>
      <c r="B11" s="47" t="s">
        <v>72</v>
      </c>
      <c r="C11" s="47"/>
      <c r="D11" s="47"/>
      <c r="E11" s="47" t="s">
        <v>73</v>
      </c>
      <c r="F11" s="71" t="s">
        <v>254</v>
      </c>
      <c r="I11" s="71">
        <v>13</v>
      </c>
      <c r="J11" s="71">
        <v>2</v>
      </c>
      <c r="K11" s="71">
        <v>12</v>
      </c>
      <c r="L11" s="71">
        <v>1.5</v>
      </c>
      <c r="M11" s="71">
        <v>254</v>
      </c>
      <c r="N11" s="4">
        <f>COUNTIF(C11:D11,"*")</f>
        <v>0</v>
      </c>
      <c r="O11" s="4">
        <f>IF(J11&gt;0,IF(ROUNDUP(M11/Weights!$D$96,0)&gt;1,1,0),0)</f>
        <v>0</v>
      </c>
      <c r="P11" s="4">
        <f>IF(L11&gt;0,ROUNDUP(M11/Weights!$D$97,0),0)</f>
        <v>7</v>
      </c>
    </row>
    <row r="12" spans="1:16">
      <c r="A12" s="6" t="str">
        <f>CONCATENATE(B12,F12)</f>
        <v>ECON1200S1</v>
      </c>
      <c r="B12" s="47" t="s">
        <v>209</v>
      </c>
      <c r="C12" s="46"/>
      <c r="D12" s="46"/>
      <c r="E12" s="47" t="s">
        <v>210</v>
      </c>
      <c r="F12" s="71" t="s">
        <v>253</v>
      </c>
      <c r="I12" s="71">
        <v>13</v>
      </c>
      <c r="J12" s="71">
        <v>2</v>
      </c>
      <c r="K12" s="71">
        <v>12</v>
      </c>
      <c r="L12" s="71">
        <v>1</v>
      </c>
      <c r="M12" s="71">
        <v>64</v>
      </c>
      <c r="N12" s="4">
        <f>COUNTIF(C12:D12,"*")</f>
        <v>0</v>
      </c>
      <c r="O12" s="4">
        <f>IF(J12&gt;0,IF(ROUNDUP(M12/Weights!$D$96,0)&gt;1,1,0),0)</f>
        <v>0</v>
      </c>
      <c r="P12" s="4">
        <f>IF(L12&gt;0,ROUNDUP(M12/Weights!$D$97,0),0)</f>
        <v>2</v>
      </c>
    </row>
    <row r="13" spans="1:16">
      <c r="A13" s="6" t="str">
        <f>CONCATENATE(B13,F13)</f>
        <v>ECON1310S1</v>
      </c>
      <c r="B13" s="47" t="s">
        <v>24</v>
      </c>
      <c r="C13" s="46"/>
      <c r="D13" s="46"/>
      <c r="E13" s="47" t="s">
        <v>557</v>
      </c>
      <c r="F13" s="71" t="s">
        <v>253</v>
      </c>
      <c r="G13" s="71" t="s">
        <v>252</v>
      </c>
      <c r="I13" s="71">
        <v>13</v>
      </c>
      <c r="J13" s="71">
        <v>2</v>
      </c>
      <c r="K13" s="71">
        <v>12</v>
      </c>
      <c r="L13" s="71">
        <v>1.5</v>
      </c>
      <c r="M13" s="71">
        <v>646</v>
      </c>
      <c r="N13" s="4">
        <f>COUNTIF(C13:D13,"*")</f>
        <v>0</v>
      </c>
      <c r="O13" s="4">
        <f>IF(J13&gt;0,IF(ROUNDUP(M13/Weights!$D$96,0)&gt;1,1,0),0)</f>
        <v>1</v>
      </c>
      <c r="P13" s="4">
        <f>IF(L13&gt;0,ROUNDUP(M13/Weights!$D$97,0),0)</f>
        <v>17</v>
      </c>
    </row>
    <row r="14" spans="1:16">
      <c r="A14" s="6" t="str">
        <f>CONCATENATE(B14,F14)</f>
        <v>ECON1310S2</v>
      </c>
      <c r="B14" s="47" t="s">
        <v>24</v>
      </c>
      <c r="C14" s="47"/>
      <c r="D14" s="47"/>
      <c r="E14" s="47" t="s">
        <v>557</v>
      </c>
      <c r="F14" s="71" t="s">
        <v>254</v>
      </c>
      <c r="G14" s="71" t="s">
        <v>252</v>
      </c>
      <c r="I14" s="71">
        <v>13</v>
      </c>
      <c r="J14" s="71">
        <v>2</v>
      </c>
      <c r="K14" s="71">
        <v>12</v>
      </c>
      <c r="L14" s="71">
        <v>1.5</v>
      </c>
      <c r="M14" s="71">
        <v>446</v>
      </c>
      <c r="N14" s="4">
        <f>COUNTIF(C14:D14,"*")</f>
        <v>0</v>
      </c>
      <c r="O14" s="4">
        <f>IF(J14&gt;0,IF(ROUNDUP(M14/Weights!$D$96,0)&gt;1,1,0),0)</f>
        <v>0</v>
      </c>
      <c r="P14" s="4">
        <f>IF(L14&gt;0,ROUNDUP(M14/Weights!$D$97,0),0)</f>
        <v>12</v>
      </c>
    </row>
    <row r="15" spans="1:16">
      <c r="A15" s="6" t="str">
        <f>CONCATENATE(B15,F15)</f>
        <v>ECON1310S3</v>
      </c>
      <c r="B15" s="47" t="s">
        <v>24</v>
      </c>
      <c r="C15" s="47"/>
      <c r="D15" s="47"/>
      <c r="E15" s="47" t="s">
        <v>211</v>
      </c>
      <c r="F15" s="71" t="s">
        <v>255</v>
      </c>
      <c r="I15" s="71">
        <v>13</v>
      </c>
      <c r="J15" s="71">
        <v>2</v>
      </c>
      <c r="K15" s="71">
        <v>12</v>
      </c>
      <c r="L15" s="71">
        <v>1.5</v>
      </c>
      <c r="M15" s="71">
        <v>107</v>
      </c>
      <c r="N15" s="4">
        <f>COUNTIF(C15:D15,"*")</f>
        <v>0</v>
      </c>
      <c r="O15" s="4">
        <f>IF(J15&gt;0,IF(ROUNDUP(M15/Weights!$D$96,0)&gt;1,1,0),0)</f>
        <v>0</v>
      </c>
      <c r="P15" s="4">
        <f>IF(L15&gt;0,ROUNDUP(M15/Weights!$D$97,0),0)</f>
        <v>3</v>
      </c>
    </row>
    <row r="16" spans="1:16">
      <c r="A16" s="6" t="str">
        <f>CONCATENATE(B16,F16)</f>
        <v>ECON2010S1</v>
      </c>
      <c r="B16" s="118" t="s">
        <v>79</v>
      </c>
      <c r="E16" s="118" t="s">
        <v>558</v>
      </c>
      <c r="F16" s="71" t="s">
        <v>253</v>
      </c>
      <c r="G16" s="71" t="s">
        <v>252</v>
      </c>
      <c r="I16" s="71">
        <v>13</v>
      </c>
      <c r="J16" s="71">
        <v>2</v>
      </c>
      <c r="K16" s="71">
        <v>12</v>
      </c>
      <c r="L16" s="71">
        <v>1</v>
      </c>
      <c r="M16" s="71">
        <v>335</v>
      </c>
      <c r="N16" s="4">
        <f>COUNTIF(C16:D16,"*")</f>
        <v>0</v>
      </c>
      <c r="O16" s="4">
        <f>IF(J16&gt;0,IF(ROUNDUP(M16/Weights!$D$96,0)&gt;1,1,0),0)</f>
        <v>0</v>
      </c>
      <c r="P16" s="4">
        <f>IF(L16&gt;0,ROUNDUP(M16/Weights!$D$97,0),0)</f>
        <v>9</v>
      </c>
    </row>
    <row r="17" spans="1:16">
      <c r="A17" s="6" t="str">
        <f>CONCATENATE(B17,F17)</f>
        <v>ECON2010S2</v>
      </c>
      <c r="B17" s="118" t="s">
        <v>79</v>
      </c>
      <c r="E17" s="118" t="s">
        <v>558</v>
      </c>
      <c r="F17" s="71" t="s">
        <v>254</v>
      </c>
      <c r="I17" s="71">
        <v>13</v>
      </c>
      <c r="J17" s="71">
        <v>2</v>
      </c>
      <c r="K17" s="71">
        <v>12</v>
      </c>
      <c r="L17" s="71">
        <v>1</v>
      </c>
      <c r="M17" s="71">
        <v>137</v>
      </c>
      <c r="N17" s="4">
        <f>COUNTIF(C17:D17,"*")</f>
        <v>0</v>
      </c>
      <c r="O17" s="4">
        <f>IF(J17&gt;0,IF(ROUNDUP(M17/Weights!$D$96,0)&gt;1,1,0),0)</f>
        <v>0</v>
      </c>
      <c r="P17" s="4">
        <f>IF(L17&gt;0,ROUNDUP(M17/Weights!$D$97,0),0)</f>
        <v>4</v>
      </c>
    </row>
    <row r="18" spans="1:16">
      <c r="A18" s="6" t="str">
        <f>CONCATENATE(B18,F18)</f>
        <v>ECON2011S1</v>
      </c>
      <c r="B18" s="118" t="s">
        <v>165</v>
      </c>
      <c r="E18" s="118" t="s">
        <v>212</v>
      </c>
      <c r="F18" s="71" t="s">
        <v>253</v>
      </c>
      <c r="I18" s="71">
        <v>13</v>
      </c>
      <c r="J18" s="71">
        <v>2</v>
      </c>
      <c r="K18" s="71">
        <v>12</v>
      </c>
      <c r="L18" s="71">
        <v>1.5</v>
      </c>
      <c r="M18" s="71">
        <v>112</v>
      </c>
      <c r="N18" s="4">
        <f>COUNTIF(C18:D18,"*")</f>
        <v>0</v>
      </c>
      <c r="O18" s="4">
        <f>IF(J18&gt;0,IF(ROUNDUP(M18/Weights!$D$96,0)&gt;1,1,0),0)</f>
        <v>0</v>
      </c>
      <c r="P18" s="4">
        <f>IF(L18&gt;0,ROUNDUP(M18/Weights!$D$97,0),0)</f>
        <v>3</v>
      </c>
    </row>
    <row r="19" spans="1:16">
      <c r="A19" s="6" t="str">
        <f>CONCATENATE(B19,F19)</f>
        <v>ECON2012S1</v>
      </c>
      <c r="B19" s="118" t="s">
        <v>213</v>
      </c>
      <c r="E19" s="118" t="s">
        <v>214</v>
      </c>
      <c r="F19" s="71" t="s">
        <v>253</v>
      </c>
      <c r="I19" s="71">
        <v>13</v>
      </c>
      <c r="J19" s="71">
        <v>2</v>
      </c>
      <c r="K19" s="71">
        <v>12</v>
      </c>
      <c r="L19" s="71">
        <v>1.5</v>
      </c>
      <c r="M19" s="71">
        <v>58</v>
      </c>
      <c r="N19" s="4">
        <f>COUNTIF(C19:D19,"*")</f>
        <v>0</v>
      </c>
      <c r="O19" s="4">
        <f>IF(J19&gt;0,IF(ROUNDUP(M19/Weights!$D$96,0)&gt;1,1,0),0)</f>
        <v>0</v>
      </c>
      <c r="P19" s="4">
        <f>IF(L19&gt;0,ROUNDUP(M19/Weights!$D$97,0),0)</f>
        <v>2</v>
      </c>
    </row>
    <row r="20" spans="1:16">
      <c r="A20" s="6" t="str">
        <f>CONCATENATE(B20,F20)</f>
        <v>ECON2020S1</v>
      </c>
      <c r="B20" s="118" t="s">
        <v>27</v>
      </c>
      <c r="E20" s="118" t="s">
        <v>559</v>
      </c>
      <c r="F20" s="71" t="s">
        <v>253</v>
      </c>
      <c r="G20" s="71" t="s">
        <v>252</v>
      </c>
      <c r="I20" s="71">
        <v>13</v>
      </c>
      <c r="J20" s="71">
        <v>2</v>
      </c>
      <c r="K20" s="71">
        <v>12</v>
      </c>
      <c r="L20" s="71">
        <v>1</v>
      </c>
      <c r="M20" s="71">
        <v>341</v>
      </c>
      <c r="N20" s="4">
        <f>COUNTIF(C20:D20,"*")</f>
        <v>0</v>
      </c>
      <c r="O20" s="4">
        <f>IF(J20&gt;0,IF(ROUNDUP(M20/Weights!$D$96,0)&gt;1,1,0),0)</f>
        <v>0</v>
      </c>
      <c r="P20" s="4">
        <f>IF(L20&gt;0,ROUNDUP(M20/Weights!$D$97,0),0)</f>
        <v>9</v>
      </c>
    </row>
    <row r="21" spans="1:16">
      <c r="A21" s="6" t="str">
        <f>CONCATENATE(B21,F21)</f>
        <v>ECON2020S2</v>
      </c>
      <c r="B21" s="118" t="s">
        <v>27</v>
      </c>
      <c r="E21" s="118" t="s">
        <v>559</v>
      </c>
      <c r="F21" s="71" t="s">
        <v>254</v>
      </c>
      <c r="I21" s="71">
        <v>13</v>
      </c>
      <c r="J21" s="71">
        <v>2</v>
      </c>
      <c r="K21" s="71">
        <v>12</v>
      </c>
      <c r="L21" s="71">
        <v>1</v>
      </c>
      <c r="M21" s="71">
        <v>202</v>
      </c>
      <c r="N21" s="4">
        <f>COUNTIF(C21:D21,"*")</f>
        <v>0</v>
      </c>
      <c r="O21" s="4">
        <f>IF(J21&gt;0,IF(ROUNDUP(M21/Weights!$D$96,0)&gt;1,1,0),0)</f>
        <v>0</v>
      </c>
      <c r="P21" s="4">
        <f>IF(L21&gt;0,ROUNDUP(M21/Weights!$D$97,0),0)</f>
        <v>6</v>
      </c>
    </row>
    <row r="22" spans="1:16">
      <c r="A22" s="6" t="str">
        <f>CONCATENATE(B22,F22)</f>
        <v>ECON2021S1</v>
      </c>
      <c r="B22" s="118" t="s">
        <v>215</v>
      </c>
      <c r="E22" s="118" t="s">
        <v>216</v>
      </c>
      <c r="F22" s="71" t="s">
        <v>253</v>
      </c>
      <c r="I22" s="71">
        <v>13</v>
      </c>
      <c r="J22" s="71">
        <v>2</v>
      </c>
      <c r="K22" s="71">
        <v>12</v>
      </c>
      <c r="L22" s="71">
        <v>1</v>
      </c>
      <c r="M22" s="71">
        <v>92</v>
      </c>
      <c r="N22" s="4">
        <f>COUNTIF(C22:D22,"*")</f>
        <v>0</v>
      </c>
      <c r="O22" s="4">
        <f>IF(J22&gt;0,IF(ROUNDUP(M22/Weights!$D$96,0)&gt;1,1,0),0)</f>
        <v>0</v>
      </c>
      <c r="P22" s="4">
        <f>IF(L22&gt;0,ROUNDUP(M22/Weights!$D$97,0),0)</f>
        <v>3</v>
      </c>
    </row>
    <row r="23" spans="1:16">
      <c r="A23" s="6" t="str">
        <f>CONCATENATE(B23,F23)</f>
        <v>ECON2022S2</v>
      </c>
      <c r="B23" s="118" t="s">
        <v>233</v>
      </c>
      <c r="E23" s="118" t="s">
        <v>234</v>
      </c>
      <c r="F23" s="71" t="s">
        <v>254</v>
      </c>
      <c r="I23" s="71">
        <v>13</v>
      </c>
      <c r="J23" s="71">
        <v>2</v>
      </c>
      <c r="K23" s="71">
        <v>12</v>
      </c>
      <c r="L23" s="71">
        <v>1</v>
      </c>
      <c r="M23" s="71">
        <v>59</v>
      </c>
      <c r="N23" s="4">
        <f>COUNTIF(C23:D23,"*")</f>
        <v>0</v>
      </c>
      <c r="O23" s="4">
        <f>IF(J23&gt;0,IF(ROUNDUP(M23/Weights!$D$96,0)&gt;1,1,0),0)</f>
        <v>0</v>
      </c>
      <c r="P23" s="4">
        <f>IF(L23&gt;0,ROUNDUP(M23/Weights!$D$97,0),0)</f>
        <v>2</v>
      </c>
    </row>
    <row r="24" spans="1:16">
      <c r="A24" s="6" t="str">
        <f>CONCATENATE(B24,F24)</f>
        <v>ECON2030S2</v>
      </c>
      <c r="B24" s="118" t="s">
        <v>63</v>
      </c>
      <c r="E24" s="118" t="s">
        <v>64</v>
      </c>
      <c r="F24" s="71" t="s">
        <v>254</v>
      </c>
      <c r="G24" s="71" t="s">
        <v>252</v>
      </c>
      <c r="I24" s="71">
        <v>13</v>
      </c>
      <c r="J24" s="71">
        <v>2</v>
      </c>
      <c r="K24" s="71">
        <v>12</v>
      </c>
      <c r="L24" s="71">
        <v>1</v>
      </c>
      <c r="M24" s="71">
        <v>412</v>
      </c>
      <c r="N24" s="4">
        <f>COUNTIF(C24:D24,"*")</f>
        <v>0</v>
      </c>
      <c r="O24" s="4">
        <f>IF(J24&gt;0,IF(ROUNDUP(M24/Weights!$D$96,0)&gt;1,1,0),0)</f>
        <v>0</v>
      </c>
      <c r="P24" s="4">
        <f>IF(L24&gt;0,ROUNDUP(M24/Weights!$D$97,0),0)</f>
        <v>11</v>
      </c>
    </row>
    <row r="25" spans="1:16">
      <c r="A25" s="6" t="str">
        <f>CONCATENATE(B25,F25)</f>
        <v>ECON2040S2</v>
      </c>
      <c r="B25" s="118" t="s">
        <v>75</v>
      </c>
      <c r="E25" s="118" t="s">
        <v>76</v>
      </c>
      <c r="F25" s="71" t="s">
        <v>254</v>
      </c>
      <c r="G25" s="71" t="s">
        <v>252</v>
      </c>
      <c r="I25" s="71">
        <v>13</v>
      </c>
      <c r="J25" s="71">
        <v>2</v>
      </c>
      <c r="K25" s="71">
        <v>12</v>
      </c>
      <c r="L25" s="71">
        <v>1</v>
      </c>
      <c r="M25" s="71">
        <v>371</v>
      </c>
      <c r="N25" s="4">
        <f>COUNTIF(C25:D25,"*")</f>
        <v>0</v>
      </c>
      <c r="O25" s="4">
        <f>IF(J25&gt;0,IF(ROUNDUP(M25/Weights!$D$96,0)&gt;1,1,0),0)</f>
        <v>0</v>
      </c>
      <c r="P25" s="4">
        <f>IF(L25&gt;0,ROUNDUP(M25/Weights!$D$97,0),0)</f>
        <v>10</v>
      </c>
    </row>
    <row r="26" spans="1:16">
      <c r="A26" s="6" t="str">
        <f>CONCATENATE(B26,F26)</f>
        <v>ECON2050S2</v>
      </c>
      <c r="B26" s="118" t="s">
        <v>114</v>
      </c>
      <c r="E26" s="118" t="s">
        <v>115</v>
      </c>
      <c r="F26" s="71" t="s">
        <v>254</v>
      </c>
      <c r="I26" s="71">
        <v>13</v>
      </c>
      <c r="J26" s="71">
        <v>2</v>
      </c>
      <c r="K26" s="71">
        <v>12</v>
      </c>
      <c r="L26" s="71">
        <v>1.5</v>
      </c>
      <c r="M26" s="71">
        <v>158</v>
      </c>
      <c r="N26" s="4">
        <f>COUNTIF(C26:D26,"*")</f>
        <v>0</v>
      </c>
      <c r="O26" s="4">
        <f>IF(J26&gt;0,IF(ROUNDUP(M26/Weights!$D$96,0)&gt;1,1,0),0)</f>
        <v>0</v>
      </c>
      <c r="P26" s="4">
        <f>IF(L26&gt;0,ROUNDUP(M26/Weights!$D$97,0),0)</f>
        <v>4</v>
      </c>
    </row>
    <row r="27" spans="1:16">
      <c r="A27" s="6" t="str">
        <f>CONCATENATE(B27,F27)</f>
        <v>ECON2060S1</v>
      </c>
      <c r="B27" s="118" t="s">
        <v>58</v>
      </c>
      <c r="E27" s="118" t="s">
        <v>560</v>
      </c>
      <c r="F27" s="71" t="s">
        <v>253</v>
      </c>
      <c r="I27" s="71">
        <v>13</v>
      </c>
      <c r="J27" s="71">
        <v>2</v>
      </c>
      <c r="K27" s="71">
        <v>12</v>
      </c>
      <c r="L27" s="71">
        <v>2</v>
      </c>
      <c r="M27" s="71">
        <v>129</v>
      </c>
      <c r="N27" s="4">
        <f>COUNTIF(C27:D27,"*")</f>
        <v>0</v>
      </c>
      <c r="O27" s="4">
        <f>IF(J27&gt;0,IF(ROUNDUP(M27/Weights!$D$96,0)&gt;1,1,0),0)</f>
        <v>0</v>
      </c>
      <c r="P27" s="4">
        <f>IF(L27&gt;0,ROUNDUP(M27/Weights!$D$97,0),0)</f>
        <v>4</v>
      </c>
    </row>
    <row r="28" spans="1:16">
      <c r="A28" s="6" t="str">
        <f>CONCATENATE(B28,F28)</f>
        <v>ECON2070S1</v>
      </c>
      <c r="B28" s="118" t="s">
        <v>145</v>
      </c>
      <c r="E28" s="118" t="s">
        <v>280</v>
      </c>
      <c r="F28" s="71" t="s">
        <v>253</v>
      </c>
      <c r="G28" s="71" t="s">
        <v>252</v>
      </c>
      <c r="I28" s="71">
        <v>13</v>
      </c>
      <c r="J28" s="71">
        <v>2</v>
      </c>
      <c r="K28" s="71">
        <v>12</v>
      </c>
      <c r="L28" s="71">
        <v>1</v>
      </c>
      <c r="M28" s="71">
        <v>359</v>
      </c>
      <c r="N28" s="4">
        <f>COUNTIF(C28:D28,"*")</f>
        <v>0</v>
      </c>
      <c r="O28" s="4">
        <f>IF(J28&gt;0,IF(ROUNDUP(M28/Weights!$D$96,0)&gt;1,1,0),0)</f>
        <v>0</v>
      </c>
      <c r="P28" s="4">
        <f>IF(L28&gt;0,ROUNDUP(M28/Weights!$D$97,0),0)</f>
        <v>9</v>
      </c>
    </row>
    <row r="29" spans="1:16">
      <c r="A29" s="6" t="str">
        <f>CONCATENATE(B29,F29)</f>
        <v>ECON2070S3</v>
      </c>
      <c r="B29" s="118" t="s">
        <v>145</v>
      </c>
      <c r="E29" s="118" t="s">
        <v>280</v>
      </c>
      <c r="F29" s="71" t="s">
        <v>255</v>
      </c>
      <c r="I29" s="71">
        <v>7</v>
      </c>
      <c r="J29" s="71">
        <v>4</v>
      </c>
      <c r="K29" s="71">
        <v>7</v>
      </c>
      <c r="L29" s="71">
        <v>1</v>
      </c>
      <c r="M29" s="71">
        <v>172</v>
      </c>
      <c r="N29" s="4">
        <f>COUNTIF(C29:D29,"*")</f>
        <v>0</v>
      </c>
      <c r="O29" s="4">
        <f>IF(J29&gt;0,IF(ROUNDUP(M29/Weights!$D$96,0)&gt;1,1,0),0)</f>
        <v>0</v>
      </c>
      <c r="P29" s="4">
        <f>IF(L29&gt;0,ROUNDUP(M29/Weights!$D$97,0),0)</f>
        <v>5</v>
      </c>
    </row>
    <row r="30" spans="1:16">
      <c r="A30" s="6" t="str">
        <f>CONCATENATE(B30,F30)</f>
        <v>ECON2101S1</v>
      </c>
      <c r="B30" s="118" t="s">
        <v>561</v>
      </c>
      <c r="E30" s="118" t="s">
        <v>562</v>
      </c>
      <c r="F30" s="71" t="s">
        <v>253</v>
      </c>
      <c r="I30" s="71">
        <v>13</v>
      </c>
      <c r="J30" s="71">
        <v>2</v>
      </c>
      <c r="K30" s="71">
        <v>12</v>
      </c>
      <c r="L30" s="71">
        <v>1</v>
      </c>
      <c r="M30" s="71">
        <v>200</v>
      </c>
      <c r="N30" s="4">
        <f>COUNTIF(C30:D30,"*")</f>
        <v>0</v>
      </c>
      <c r="O30" s="4">
        <f>IF(J30&gt;0,IF(ROUNDUP(M30/Weights!$D$96,0)&gt;1,1,0),0)</f>
        <v>0</v>
      </c>
      <c r="P30" s="4">
        <f>IF(L30&gt;0,ROUNDUP(M30/Weights!$D$97,0),0)</f>
        <v>5</v>
      </c>
    </row>
    <row r="31" spans="1:16">
      <c r="A31" s="6" t="str">
        <f>CONCATENATE(B31,F31)</f>
        <v>ECON2101S2</v>
      </c>
      <c r="B31" s="118" t="s">
        <v>561</v>
      </c>
      <c r="E31" s="118" t="s">
        <v>562</v>
      </c>
      <c r="F31" s="71" t="s">
        <v>254</v>
      </c>
      <c r="I31" s="71">
        <v>13</v>
      </c>
      <c r="J31" s="71">
        <v>2</v>
      </c>
      <c r="K31" s="71">
        <v>12</v>
      </c>
      <c r="L31" s="71">
        <v>1</v>
      </c>
      <c r="M31" s="71">
        <v>200</v>
      </c>
      <c r="N31" s="4">
        <f>COUNTIF(C31:D31,"*")</f>
        <v>0</v>
      </c>
      <c r="O31" s="4">
        <f>IF(J31&gt;0,IF(ROUNDUP(M31/Weights!$D$96,0)&gt;1,1,0),0)</f>
        <v>0</v>
      </c>
      <c r="P31" s="4">
        <f>IF(L31&gt;0,ROUNDUP(M31/Weights!$D$97,0),0)</f>
        <v>5</v>
      </c>
    </row>
    <row r="32" spans="1:16" s="119" customFormat="1">
      <c r="A32" s="6" t="str">
        <f>CONCATENATE(B32,F32)</f>
        <v>ECON2102S2</v>
      </c>
      <c r="B32" s="118" t="s">
        <v>565</v>
      </c>
      <c r="C32" s="118"/>
      <c r="D32" s="118"/>
      <c r="E32" s="118" t="s">
        <v>568</v>
      </c>
      <c r="F32" s="71" t="s">
        <v>254</v>
      </c>
      <c r="G32" s="71"/>
      <c r="H32" s="71"/>
      <c r="I32" s="71">
        <v>13</v>
      </c>
      <c r="J32" s="71">
        <v>2</v>
      </c>
      <c r="K32" s="71">
        <v>12</v>
      </c>
      <c r="L32" s="71">
        <v>1</v>
      </c>
      <c r="M32" s="71">
        <v>25</v>
      </c>
      <c r="N32" s="4">
        <f>COUNTIF(C32:D32,"*")</f>
        <v>0</v>
      </c>
      <c r="O32" s="4">
        <f>IF(J32&gt;0,IF(ROUNDUP(M32/Weights!$D$96,0)&gt;1,1,0),0)</f>
        <v>0</v>
      </c>
      <c r="P32" s="4">
        <f>IF(L32&gt;0,ROUNDUP(M32/Weights!$D$97,0),0)</f>
        <v>1</v>
      </c>
    </row>
    <row r="33" spans="1:16">
      <c r="A33" s="6" t="str">
        <f>CONCATENATE(B33,F33)</f>
        <v>ECON2103S1</v>
      </c>
      <c r="B33" s="118" t="s">
        <v>563</v>
      </c>
      <c r="E33" s="118" t="s">
        <v>564</v>
      </c>
      <c r="F33" s="71" t="s">
        <v>253</v>
      </c>
      <c r="I33" s="71">
        <v>13</v>
      </c>
      <c r="J33" s="71">
        <v>2</v>
      </c>
      <c r="K33" s="71">
        <v>12</v>
      </c>
      <c r="L33" s="71">
        <v>1</v>
      </c>
      <c r="M33" s="71">
        <v>100</v>
      </c>
      <c r="N33" s="4">
        <f>COUNTIF(C33:D33,"*")</f>
        <v>0</v>
      </c>
      <c r="O33" s="4">
        <f>IF(J33&gt;0,IF(ROUNDUP(M33/Weights!$D$96,0)&gt;1,1,0),0)</f>
        <v>0</v>
      </c>
      <c r="P33" s="4">
        <f>IF(L33&gt;0,ROUNDUP(M33/Weights!$D$97,0),0)</f>
        <v>3</v>
      </c>
    </row>
    <row r="34" spans="1:16">
      <c r="A34" s="6" t="str">
        <f>CONCATENATE(B34,F34)</f>
        <v>ECON2105S1</v>
      </c>
      <c r="B34" s="118" t="s">
        <v>572</v>
      </c>
      <c r="E34" s="118" t="s">
        <v>217</v>
      </c>
      <c r="F34" s="71" t="s">
        <v>253</v>
      </c>
      <c r="I34" s="71">
        <v>13</v>
      </c>
      <c r="J34" s="71">
        <v>2</v>
      </c>
      <c r="K34" s="71">
        <v>12</v>
      </c>
      <c r="L34" s="71">
        <v>2</v>
      </c>
      <c r="M34" s="71">
        <v>20</v>
      </c>
      <c r="N34" s="4">
        <f>COUNTIF(C34:D34,"*")</f>
        <v>0</v>
      </c>
      <c r="O34" s="4">
        <f>IF(J34&gt;0,IF(ROUNDUP(M34/Weights!$D$96,0)&gt;1,1,0),0)</f>
        <v>0</v>
      </c>
      <c r="P34" s="4">
        <f>IF(L34&gt;0,ROUNDUP(M34/Weights!$D$97,0),0)</f>
        <v>1</v>
      </c>
    </row>
    <row r="35" spans="1:16">
      <c r="A35" s="6" t="str">
        <f>CONCATENATE(B35,F35)</f>
        <v>ECON2200S2</v>
      </c>
      <c r="B35" s="47" t="s">
        <v>28</v>
      </c>
      <c r="C35" s="47"/>
      <c r="D35" s="47"/>
      <c r="E35" s="47" t="s">
        <v>29</v>
      </c>
      <c r="F35" s="71" t="s">
        <v>254</v>
      </c>
      <c r="I35" s="71">
        <v>13</v>
      </c>
      <c r="J35" s="71">
        <v>2</v>
      </c>
      <c r="K35" s="71">
        <v>12</v>
      </c>
      <c r="L35" s="71">
        <v>1</v>
      </c>
      <c r="M35" s="71">
        <v>223</v>
      </c>
      <c r="N35" s="4">
        <f>COUNTIF(C35:D35,"*")</f>
        <v>0</v>
      </c>
      <c r="O35" s="4">
        <f>IF(J35&gt;0,IF(ROUNDUP(M35/Weights!$D$96,0)&gt;1,1,0),0)</f>
        <v>0</v>
      </c>
      <c r="P35" s="4">
        <f>IF(L35&gt;0,ROUNDUP(M35/Weights!$D$97,0),0)</f>
        <v>6</v>
      </c>
    </row>
    <row r="36" spans="1:16">
      <c r="A36" s="6" t="str">
        <f>CONCATENATE(B36,F36)</f>
        <v>ECON2200S3</v>
      </c>
      <c r="B36" s="47" t="s">
        <v>28</v>
      </c>
      <c r="C36" s="47"/>
      <c r="D36" s="47"/>
      <c r="E36" s="47" t="s">
        <v>29</v>
      </c>
      <c r="F36" s="71" t="s">
        <v>255</v>
      </c>
      <c r="I36" s="71">
        <v>12</v>
      </c>
      <c r="J36" s="71">
        <v>2</v>
      </c>
      <c r="K36" s="71">
        <v>12</v>
      </c>
      <c r="L36" s="71">
        <v>1</v>
      </c>
      <c r="M36" s="71">
        <v>213</v>
      </c>
      <c r="N36" s="4">
        <f>COUNTIF(C36:D36,"*")</f>
        <v>0</v>
      </c>
      <c r="O36" s="4">
        <f>IF(J36&gt;0,IF(ROUNDUP(M36/Weights!$D$96,0)&gt;1,1,0),0)</f>
        <v>0</v>
      </c>
      <c r="P36" s="4">
        <f>IF(L36&gt;0,ROUNDUP(M36/Weights!$D$97,0),0)</f>
        <v>6</v>
      </c>
    </row>
    <row r="37" spans="1:16">
      <c r="A37" s="6" t="str">
        <f>CONCATENATE(B37,F37)</f>
        <v>ECON2300S1</v>
      </c>
      <c r="B37" s="47" t="s">
        <v>93</v>
      </c>
      <c r="C37" s="47"/>
      <c r="D37" s="47"/>
      <c r="E37" s="47" t="s">
        <v>95</v>
      </c>
      <c r="F37" s="71" t="s">
        <v>253</v>
      </c>
      <c r="G37" s="71" t="s">
        <v>252</v>
      </c>
      <c r="H37" s="71">
        <v>0.5</v>
      </c>
      <c r="I37" s="71">
        <v>13</v>
      </c>
      <c r="J37" s="71">
        <v>2</v>
      </c>
      <c r="K37" s="71">
        <v>12</v>
      </c>
      <c r="L37" s="71">
        <v>2</v>
      </c>
      <c r="M37" s="71">
        <v>460</v>
      </c>
      <c r="N37" s="4">
        <f>COUNTIF(C37:D37,"*")</f>
        <v>0</v>
      </c>
      <c r="O37" s="4">
        <f>IF(J37&gt;0,IF(ROUNDUP(M37/Weights!$D$96,0)&gt;1,1,0),0)</f>
        <v>0</v>
      </c>
      <c r="P37" s="4">
        <f>IF(L37&gt;0,ROUNDUP(M37/Weights!$D$97,0),0)</f>
        <v>12</v>
      </c>
    </row>
    <row r="38" spans="1:16">
      <c r="A38" s="6" t="str">
        <f>CONCATENATE(B38,F38)</f>
        <v>ECON2300S2</v>
      </c>
      <c r="B38" s="47" t="s">
        <v>93</v>
      </c>
      <c r="C38" s="47"/>
      <c r="D38" s="47"/>
      <c r="E38" s="47" t="s">
        <v>95</v>
      </c>
      <c r="F38" s="71" t="s">
        <v>254</v>
      </c>
      <c r="G38" s="71" t="s">
        <v>252</v>
      </c>
      <c r="H38" s="71">
        <v>0.5</v>
      </c>
      <c r="I38" s="71">
        <v>13</v>
      </c>
      <c r="J38" s="71">
        <v>2</v>
      </c>
      <c r="K38" s="71">
        <v>12</v>
      </c>
      <c r="L38" s="71">
        <v>2</v>
      </c>
      <c r="M38" s="71">
        <v>496</v>
      </c>
      <c r="N38" s="4">
        <f>COUNTIF(C38:D38,"*")</f>
        <v>0</v>
      </c>
      <c r="O38" s="4">
        <f>IF(J38&gt;0,IF(ROUNDUP(M38/Weights!$D$96,0)&gt;1,1,0),0)</f>
        <v>0</v>
      </c>
      <c r="P38" s="4">
        <f>IF(L38&gt;0,ROUNDUP(M38/Weights!$D$97,0),0)</f>
        <v>13</v>
      </c>
    </row>
    <row r="39" spans="1:16">
      <c r="A39" s="6" t="str">
        <f>CONCATENATE(B39,F39)</f>
        <v>ECON2320S2</v>
      </c>
      <c r="B39" s="47" t="s">
        <v>91</v>
      </c>
      <c r="C39" s="47"/>
      <c r="D39" s="47"/>
      <c r="E39" s="47" t="s">
        <v>235</v>
      </c>
      <c r="F39" s="71" t="s">
        <v>254</v>
      </c>
      <c r="I39" s="71">
        <v>13</v>
      </c>
      <c r="J39" s="71">
        <v>2</v>
      </c>
      <c r="K39" s="71">
        <v>12</v>
      </c>
      <c r="L39" s="71">
        <v>1.5</v>
      </c>
      <c r="M39" s="71">
        <v>120</v>
      </c>
      <c r="N39" s="4">
        <f>COUNTIF(C39:D39,"*")</f>
        <v>0</v>
      </c>
      <c r="O39" s="4">
        <f>IF(J39&gt;0,IF(ROUNDUP(M39/Weights!$D$96,0)&gt;1,1,0),0)</f>
        <v>0</v>
      </c>
      <c r="P39" s="4">
        <f>IF(L39&gt;0,ROUNDUP(M39/Weights!$D$97,0),0)</f>
        <v>3</v>
      </c>
    </row>
    <row r="40" spans="1:16">
      <c r="A40" s="6" t="str">
        <f>CONCATENATE(B40,F40)</f>
        <v>ECON2333S2</v>
      </c>
      <c r="B40" s="47" t="s">
        <v>236</v>
      </c>
      <c r="C40" s="47"/>
      <c r="D40" s="47"/>
      <c r="E40" s="47" t="s">
        <v>281</v>
      </c>
      <c r="F40" s="71" t="s">
        <v>254</v>
      </c>
      <c r="I40" s="71">
        <v>13</v>
      </c>
      <c r="J40" s="71">
        <v>2</v>
      </c>
      <c r="K40" s="71">
        <v>12</v>
      </c>
      <c r="L40" s="71">
        <v>2</v>
      </c>
      <c r="M40" s="71">
        <v>56</v>
      </c>
      <c r="N40" s="4">
        <f>COUNTIF(C40:D40,"*")</f>
        <v>0</v>
      </c>
      <c r="O40" s="4">
        <f>IF(J40&gt;0,IF(ROUNDUP(M40/Weights!$D$96,0)&gt;1,1,0),0)</f>
        <v>0</v>
      </c>
      <c r="P40" s="4">
        <f>IF(L40&gt;0,ROUNDUP(M40/Weights!$D$97,0),0)</f>
        <v>2</v>
      </c>
    </row>
    <row r="41" spans="1:16">
      <c r="A41" s="6" t="str">
        <f>CONCATENATE(B41,F41)</f>
        <v>ECON2410S1</v>
      </c>
      <c r="B41" s="47" t="s">
        <v>61</v>
      </c>
      <c r="C41" s="47"/>
      <c r="D41" s="47"/>
      <c r="E41" s="47" t="s">
        <v>62</v>
      </c>
      <c r="F41" s="71" t="s">
        <v>253</v>
      </c>
      <c r="G41" s="71" t="s">
        <v>252</v>
      </c>
      <c r="I41" s="71">
        <v>13</v>
      </c>
      <c r="J41" s="71">
        <v>2</v>
      </c>
      <c r="K41" s="71">
        <v>13</v>
      </c>
      <c r="L41" s="71">
        <v>1</v>
      </c>
      <c r="M41" s="71">
        <v>435</v>
      </c>
      <c r="N41" s="4">
        <f>COUNTIF(C41:D41,"*")</f>
        <v>0</v>
      </c>
      <c r="O41" s="4">
        <f>IF(J41&gt;0,IF(ROUNDUP(M41/Weights!$D$96,0)&gt;1,1,0),0)</f>
        <v>0</v>
      </c>
      <c r="P41" s="4">
        <f>IF(L41&gt;0,ROUNDUP(M41/Weights!$D$97,0),0)</f>
        <v>11</v>
      </c>
    </row>
    <row r="42" spans="1:16">
      <c r="A42" s="6" t="str">
        <f>CONCATENATE(B42,F42)</f>
        <v>ECON2420S2</v>
      </c>
      <c r="B42" s="47" t="s">
        <v>238</v>
      </c>
      <c r="C42" s="47"/>
      <c r="D42" s="47"/>
      <c r="E42" s="47" t="s">
        <v>282</v>
      </c>
      <c r="F42" s="71" t="s">
        <v>254</v>
      </c>
      <c r="I42" s="71">
        <v>13</v>
      </c>
      <c r="J42" s="71">
        <v>2</v>
      </c>
      <c r="K42" s="71">
        <v>12</v>
      </c>
      <c r="L42" s="71">
        <v>1</v>
      </c>
      <c r="M42" s="71">
        <v>285</v>
      </c>
      <c r="N42" s="4">
        <f>COUNTIF(C42:D42,"*")</f>
        <v>0</v>
      </c>
      <c r="O42" s="4">
        <f>IF(J42&gt;0,IF(ROUNDUP(M42/Weights!$D$96,0)&gt;1,1,0),0)</f>
        <v>0</v>
      </c>
      <c r="P42" s="4">
        <f>IF(L42&gt;0,ROUNDUP(M42/Weights!$D$97,0),0)</f>
        <v>8</v>
      </c>
    </row>
    <row r="43" spans="1:16">
      <c r="A43" s="6" t="str">
        <f>CONCATENATE(B43,F43)</f>
        <v>ECON2460S1</v>
      </c>
      <c r="B43" s="47" t="s">
        <v>65</v>
      </c>
      <c r="C43" s="47"/>
      <c r="D43" s="47"/>
      <c r="E43" s="47" t="s">
        <v>66</v>
      </c>
      <c r="F43" s="71" t="s">
        <v>253</v>
      </c>
      <c r="I43" s="71">
        <v>13</v>
      </c>
      <c r="J43" s="71">
        <v>2</v>
      </c>
      <c r="K43" s="71">
        <v>12</v>
      </c>
      <c r="L43" s="71">
        <v>1</v>
      </c>
      <c r="M43" s="71">
        <v>71</v>
      </c>
      <c r="N43" s="4">
        <f>COUNTIF(C43:D43,"*")</f>
        <v>0</v>
      </c>
      <c r="O43" s="4">
        <f>IF(J43&gt;0,IF(ROUNDUP(M43/Weights!$D$96,0)&gt;1,1,0),0)</f>
        <v>0</v>
      </c>
      <c r="P43" s="4">
        <f>IF(L43&gt;0,ROUNDUP(M43/Weights!$D$97,0),0)</f>
        <v>2</v>
      </c>
    </row>
    <row r="44" spans="1:16">
      <c r="A44" s="6" t="str">
        <f>CONCATENATE(B44,F44)</f>
        <v>ECON2540S2</v>
      </c>
      <c r="B44" s="47" t="s">
        <v>82</v>
      </c>
      <c r="C44" s="47"/>
      <c r="D44" s="47"/>
      <c r="E44" s="47" t="s">
        <v>283</v>
      </c>
      <c r="F44" s="71" t="s">
        <v>254</v>
      </c>
      <c r="I44" s="71">
        <v>13</v>
      </c>
      <c r="J44" s="71">
        <v>2</v>
      </c>
      <c r="K44" s="71">
        <v>12</v>
      </c>
      <c r="L44" s="71">
        <v>1</v>
      </c>
      <c r="M44" s="71">
        <v>108</v>
      </c>
      <c r="N44" s="4">
        <f>COUNTIF(C44:D44,"*")</f>
        <v>0</v>
      </c>
      <c r="O44" s="4">
        <f>IF(J44&gt;0,IF(ROUNDUP(M44/Weights!$D$96,0)&gt;1,1,0),0)</f>
        <v>0</v>
      </c>
      <c r="P44" s="4">
        <f>IF(L44&gt;0,ROUNDUP(M44/Weights!$D$97,0),0)</f>
        <v>3</v>
      </c>
    </row>
    <row r="45" spans="1:16">
      <c r="A45" s="6" t="str">
        <f>CONCATENATE(B45,F45)</f>
        <v>ECON2560S2</v>
      </c>
      <c r="B45" s="47" t="s">
        <v>89</v>
      </c>
      <c r="C45" s="47"/>
      <c r="D45" s="47"/>
      <c r="E45" s="47" t="s">
        <v>173</v>
      </c>
      <c r="F45" s="71" t="s">
        <v>254</v>
      </c>
      <c r="I45" s="71">
        <v>13</v>
      </c>
      <c r="J45" s="71">
        <v>2</v>
      </c>
      <c r="K45" s="71">
        <v>12</v>
      </c>
      <c r="L45" s="71">
        <v>1</v>
      </c>
      <c r="M45" s="71">
        <v>96</v>
      </c>
      <c r="N45" s="4">
        <f>COUNTIF(C45:D45,"*")</f>
        <v>0</v>
      </c>
      <c r="O45" s="4">
        <f>IF(J45&gt;0,IF(ROUNDUP(M45/Weights!$D$96,0)&gt;1,1,0),0)</f>
        <v>0</v>
      </c>
      <c r="P45" s="4">
        <f>IF(L45&gt;0,ROUNDUP(M45/Weights!$D$97,0),0)</f>
        <v>3</v>
      </c>
    </row>
    <row r="46" spans="1:16">
      <c r="A46" s="6" t="str">
        <f>CONCATENATE(B46,F46)</f>
        <v>ECON2800S1</v>
      </c>
      <c r="B46" s="47" t="s">
        <v>83</v>
      </c>
      <c r="C46" s="47"/>
      <c r="D46" s="47"/>
      <c r="E46" s="47" t="s">
        <v>174</v>
      </c>
      <c r="F46" s="71" t="s">
        <v>253</v>
      </c>
      <c r="I46" s="71">
        <v>13</v>
      </c>
      <c r="J46" s="71">
        <v>2</v>
      </c>
      <c r="K46" s="71">
        <v>12</v>
      </c>
      <c r="L46" s="71">
        <v>1</v>
      </c>
      <c r="M46" s="71">
        <v>53</v>
      </c>
      <c r="N46" s="4">
        <f>COUNTIF(C46:D46,"*")</f>
        <v>0</v>
      </c>
      <c r="O46" s="4">
        <f>IF(J46&gt;0,IF(ROUNDUP(M46/Weights!$D$96,0)&gt;1,1,0),0)</f>
        <v>0</v>
      </c>
      <c r="P46" s="4">
        <f>IF(L46&gt;0,ROUNDUP(M46/Weights!$D$97,0),0)</f>
        <v>2</v>
      </c>
    </row>
    <row r="47" spans="1:16">
      <c r="A47" s="6" t="str">
        <f>CONCATENATE(B47,F47)</f>
        <v>ECON3010S1</v>
      </c>
      <c r="B47" s="47" t="s">
        <v>43</v>
      </c>
      <c r="C47" s="47"/>
      <c r="D47" s="47"/>
      <c r="E47" s="47" t="s">
        <v>44</v>
      </c>
      <c r="F47" s="71" t="s">
        <v>253</v>
      </c>
      <c r="I47" s="71">
        <v>13</v>
      </c>
      <c r="J47" s="71">
        <v>2</v>
      </c>
      <c r="K47" s="71">
        <v>12</v>
      </c>
      <c r="L47" s="71">
        <v>1.5</v>
      </c>
      <c r="M47" s="71">
        <v>149</v>
      </c>
      <c r="N47" s="4">
        <f>COUNTIF(C47:D47,"*")</f>
        <v>0</v>
      </c>
      <c r="O47" s="4">
        <f>IF(J47&gt;0,IF(ROUNDUP(M47/Weights!$D$96,0)&gt;1,1,0),0)</f>
        <v>0</v>
      </c>
      <c r="P47" s="4">
        <f>IF(L47&gt;0,ROUNDUP(M47/Weights!$D$97,0),0)</f>
        <v>4</v>
      </c>
    </row>
    <row r="48" spans="1:16">
      <c r="A48" s="6" t="str">
        <f>CONCATENATE(B48,F48)</f>
        <v>ECON3020S2</v>
      </c>
      <c r="B48" s="47" t="s">
        <v>40</v>
      </c>
      <c r="C48" s="47"/>
      <c r="D48" s="47"/>
      <c r="E48" s="47" t="s">
        <v>42</v>
      </c>
      <c r="F48" s="71" t="s">
        <v>254</v>
      </c>
      <c r="I48" s="71">
        <v>13</v>
      </c>
      <c r="J48" s="71">
        <v>2</v>
      </c>
      <c r="K48" s="71">
        <v>12</v>
      </c>
      <c r="L48" s="71">
        <v>1</v>
      </c>
      <c r="M48" s="71">
        <v>173</v>
      </c>
      <c r="N48" s="4">
        <f>COUNTIF(C48:D48,"*")</f>
        <v>0</v>
      </c>
      <c r="O48" s="4">
        <f>IF(J48&gt;0,IF(ROUNDUP(M48/Weights!$D$96,0)&gt;1,1,0),0)</f>
        <v>0</v>
      </c>
      <c r="P48" s="4">
        <f>IF(L48&gt;0,ROUNDUP(M48/Weights!$D$97,0),0)</f>
        <v>5</v>
      </c>
    </row>
    <row r="49" spans="1:16">
      <c r="A49" s="6" t="str">
        <f>CONCATENATE(B49,F49)</f>
        <v>ECON3200S1</v>
      </c>
      <c r="B49" s="47" t="s">
        <v>109</v>
      </c>
      <c r="C49" s="47"/>
      <c r="D49" s="47"/>
      <c r="E49" s="47" t="s">
        <v>110</v>
      </c>
      <c r="F49" s="71" t="s">
        <v>253</v>
      </c>
      <c r="I49" s="71">
        <v>13</v>
      </c>
      <c r="J49" s="71">
        <v>2</v>
      </c>
      <c r="K49" s="71">
        <v>12</v>
      </c>
      <c r="L49" s="71">
        <v>1</v>
      </c>
      <c r="M49" s="71">
        <v>99</v>
      </c>
      <c r="N49" s="4">
        <f>COUNTIF(C49:D49,"*")</f>
        <v>0</v>
      </c>
      <c r="O49" s="4">
        <f>IF(J49&gt;0,IF(ROUNDUP(M49/Weights!$D$96,0)&gt;1,1,0),0)</f>
        <v>0</v>
      </c>
      <c r="P49" s="4">
        <f>IF(L49&gt;0,ROUNDUP(M49/Weights!$D$97,0),0)</f>
        <v>3</v>
      </c>
    </row>
    <row r="50" spans="1:16">
      <c r="A50" s="6" t="str">
        <f>CONCATENATE(B50,F50)</f>
        <v>ECON3210S2</v>
      </c>
      <c r="B50" s="47" t="s">
        <v>32</v>
      </c>
      <c r="C50" s="47"/>
      <c r="D50" s="47"/>
      <c r="E50" s="47" t="s">
        <v>251</v>
      </c>
      <c r="F50" s="71" t="s">
        <v>254</v>
      </c>
      <c r="G50" s="71" t="s">
        <v>252</v>
      </c>
      <c r="I50" s="71">
        <v>13</v>
      </c>
      <c r="J50" s="71">
        <v>2</v>
      </c>
      <c r="K50" s="71">
        <v>12</v>
      </c>
      <c r="L50" s="71">
        <v>2</v>
      </c>
      <c r="M50" s="71">
        <v>672</v>
      </c>
      <c r="N50" s="4">
        <f>COUNTIF(C50:D50,"*")</f>
        <v>0</v>
      </c>
      <c r="O50" s="4">
        <f>IF(J50&gt;0,IF(ROUNDUP(M50/Weights!$D$96,0)&gt;1,1,0),0)</f>
        <v>1</v>
      </c>
      <c r="P50" s="4">
        <f>IF(L50&gt;0,ROUNDUP(M50/Weights!$D$97,0),0)</f>
        <v>17</v>
      </c>
    </row>
    <row r="51" spans="1:16">
      <c r="A51" s="6" t="str">
        <f>CONCATENATE(B51,F51)</f>
        <v>ECON3210S3</v>
      </c>
      <c r="B51" s="47" t="s">
        <v>32</v>
      </c>
      <c r="C51" s="47"/>
      <c r="D51" s="47"/>
      <c r="E51" s="47" t="s">
        <v>251</v>
      </c>
      <c r="F51" s="71" t="s">
        <v>255</v>
      </c>
      <c r="I51" s="71">
        <v>7</v>
      </c>
      <c r="J51" s="71">
        <v>4</v>
      </c>
      <c r="K51" s="71">
        <v>7</v>
      </c>
      <c r="L51" s="71">
        <v>4</v>
      </c>
      <c r="M51" s="71">
        <v>156</v>
      </c>
      <c r="N51" s="4">
        <f>COUNTIF(C51:D51,"*")</f>
        <v>0</v>
      </c>
      <c r="O51" s="4">
        <f>IF(J51&gt;0,IF(ROUNDUP(M51/Weights!$D$96,0)&gt;1,1,0),0)</f>
        <v>0</v>
      </c>
      <c r="P51" s="4">
        <f>IF(L51&gt;0,ROUNDUP(M51/Weights!$D$97,0),0)</f>
        <v>4</v>
      </c>
    </row>
    <row r="52" spans="1:16">
      <c r="A52" s="6" t="str">
        <f>CONCATENATE(B52,F52)</f>
        <v>ECON3330S2</v>
      </c>
      <c r="B52" s="47" t="s">
        <v>123</v>
      </c>
      <c r="C52" s="47"/>
      <c r="D52" s="47"/>
      <c r="E52" s="47" t="s">
        <v>569</v>
      </c>
      <c r="F52" s="71" t="s">
        <v>254</v>
      </c>
      <c r="I52" s="71">
        <v>13</v>
      </c>
      <c r="J52" s="71">
        <v>2</v>
      </c>
      <c r="K52" s="71">
        <v>12</v>
      </c>
      <c r="L52" s="71">
        <v>1.5</v>
      </c>
      <c r="M52" s="71">
        <v>11</v>
      </c>
      <c r="N52" s="4">
        <f>COUNTIF(C52:D52,"*")</f>
        <v>0</v>
      </c>
      <c r="O52" s="4">
        <f>IF(J52&gt;0,IF(ROUNDUP(M52/Weights!$D$96,0)&gt;1,1,0),0)</f>
        <v>0</v>
      </c>
      <c r="P52" s="4">
        <f>IF(L52&gt;0,ROUNDUP(M52/Weights!$D$97,0),0)</f>
        <v>1</v>
      </c>
    </row>
    <row r="53" spans="1:16">
      <c r="A53" s="6" t="str">
        <f>CONCATENATE(B53,F53)</f>
        <v>ECON3340S1</v>
      </c>
      <c r="B53" s="47" t="s">
        <v>169</v>
      </c>
      <c r="C53" s="47"/>
      <c r="D53" s="47"/>
      <c r="E53" s="47" t="s">
        <v>544</v>
      </c>
      <c r="F53" s="71" t="s">
        <v>253</v>
      </c>
      <c r="I53" s="71">
        <v>13</v>
      </c>
      <c r="J53" s="71">
        <v>2</v>
      </c>
      <c r="K53" s="71">
        <v>13</v>
      </c>
      <c r="L53" s="71">
        <v>2</v>
      </c>
      <c r="M53" s="71">
        <v>25</v>
      </c>
      <c r="N53" s="4">
        <f>COUNTIF(C53:D53,"*")</f>
        <v>0</v>
      </c>
      <c r="O53" s="4">
        <f>IF(J53&gt;0,IF(ROUNDUP(M53/Weights!$D$96,0)&gt;1,1,0),0)</f>
        <v>0</v>
      </c>
      <c r="P53" s="4">
        <f>IF(L53&gt;0,ROUNDUP(M53/Weights!$D$97,0),0)</f>
        <v>1</v>
      </c>
    </row>
    <row r="54" spans="1:16">
      <c r="A54" s="6" t="str">
        <f>CONCATENATE(B54,F54)</f>
        <v>ECON3350S1</v>
      </c>
      <c r="B54" s="47" t="s">
        <v>218</v>
      </c>
      <c r="C54" s="47"/>
      <c r="D54" s="47"/>
      <c r="E54" s="47" t="s">
        <v>284</v>
      </c>
      <c r="F54" s="71" t="s">
        <v>253</v>
      </c>
      <c r="I54" s="71">
        <v>13</v>
      </c>
      <c r="J54" s="71">
        <v>2</v>
      </c>
      <c r="K54" s="71">
        <v>13</v>
      </c>
      <c r="L54" s="71">
        <v>2</v>
      </c>
      <c r="M54" s="71">
        <v>141</v>
      </c>
      <c r="N54" s="4">
        <f>COUNTIF(C54:D54,"*")</f>
        <v>0</v>
      </c>
      <c r="O54" s="4">
        <f>IF(J54&gt;0,IF(ROUNDUP(M54/Weights!$D$96,0)&gt;1,1,0),0)</f>
        <v>0</v>
      </c>
      <c r="P54" s="4">
        <f>IF(L54&gt;0,ROUNDUP(M54/Weights!$D$97,0),0)</f>
        <v>4</v>
      </c>
    </row>
    <row r="55" spans="1:16">
      <c r="A55" s="6" t="str">
        <f>CONCATENATE(B55,F55)</f>
        <v>ECON3360S2</v>
      </c>
      <c r="B55" s="47" t="s">
        <v>25</v>
      </c>
      <c r="C55" s="47"/>
      <c r="D55" s="47"/>
      <c r="E55" s="47" t="s">
        <v>175</v>
      </c>
      <c r="F55" s="71" t="s">
        <v>254</v>
      </c>
      <c r="I55" s="71">
        <v>13</v>
      </c>
      <c r="J55" s="71">
        <v>2</v>
      </c>
      <c r="K55" s="71">
        <v>12</v>
      </c>
      <c r="L55" s="71">
        <v>2</v>
      </c>
      <c r="M55" s="71">
        <v>69</v>
      </c>
      <c r="N55" s="4">
        <f>COUNTIF(C55:D55,"*")</f>
        <v>0</v>
      </c>
      <c r="O55" s="4">
        <f>IF(J55&gt;0,IF(ROUNDUP(M55/Weights!$D$96,0)&gt;1,1,0),0)</f>
        <v>0</v>
      </c>
      <c r="P55" s="4">
        <f>IF(L55&gt;0,ROUNDUP(M55/Weights!$D$97,0),0)</f>
        <v>2</v>
      </c>
    </row>
    <row r="56" spans="1:16">
      <c r="A56" s="6" t="str">
        <f>CONCATENATE(B56,F56)</f>
        <v>ECON3380S1</v>
      </c>
      <c r="B56" s="118" t="s">
        <v>566</v>
      </c>
      <c r="E56" s="118" t="s">
        <v>567</v>
      </c>
      <c r="F56" s="71" t="s">
        <v>253</v>
      </c>
      <c r="I56" s="71">
        <v>5</v>
      </c>
      <c r="J56" s="71">
        <v>4</v>
      </c>
      <c r="K56" s="71">
        <v>7</v>
      </c>
      <c r="L56" s="71">
        <v>1</v>
      </c>
      <c r="M56" s="71">
        <v>10</v>
      </c>
      <c r="N56" s="4">
        <f>COUNTIF(C56:D56,"*")</f>
        <v>0</v>
      </c>
      <c r="O56" s="4">
        <f>IF(J56&gt;0,IF(ROUNDUP(M56/Weights!$D$96,0)&gt;1,1,0),0)</f>
        <v>0</v>
      </c>
      <c r="P56" s="4">
        <f>IF(L56&gt;0,ROUNDUP(M56/Weights!$D$97,0),0)</f>
        <v>1</v>
      </c>
    </row>
    <row r="57" spans="1:16">
      <c r="A57" s="6" t="str">
        <f>CONCATENATE(B57,F57)</f>
        <v>ECON3430S1</v>
      </c>
      <c r="B57" s="118" t="s">
        <v>1</v>
      </c>
      <c r="E57" s="118" t="s">
        <v>23</v>
      </c>
      <c r="F57" s="71" t="s">
        <v>253</v>
      </c>
      <c r="I57" s="71">
        <v>13</v>
      </c>
      <c r="J57" s="71">
        <v>2</v>
      </c>
      <c r="K57" s="71">
        <v>12</v>
      </c>
      <c r="L57" s="71">
        <v>1</v>
      </c>
      <c r="M57" s="71">
        <v>145</v>
      </c>
      <c r="N57" s="4">
        <f>COUNTIF(C57:D57,"*")</f>
        <v>0</v>
      </c>
      <c r="O57" s="4">
        <f>IF(J57&gt;0,IF(ROUNDUP(M57/Weights!$D$96,0)&gt;1,1,0),0)</f>
        <v>0</v>
      </c>
      <c r="P57" s="4">
        <f>IF(L57&gt;0,ROUNDUP(M57/Weights!$D$97,0),0)</f>
        <v>4</v>
      </c>
    </row>
    <row r="58" spans="1:16">
      <c r="A58" s="6" t="str">
        <f>CONCATENATE(B58,F58)</f>
        <v>ECON3440S1</v>
      </c>
      <c r="B58" s="118" t="s">
        <v>87</v>
      </c>
      <c r="E58" s="118" t="s">
        <v>285</v>
      </c>
      <c r="F58" s="71" t="s">
        <v>253</v>
      </c>
      <c r="I58" s="71">
        <v>13</v>
      </c>
      <c r="J58" s="71">
        <v>2</v>
      </c>
      <c r="K58" s="71">
        <v>12</v>
      </c>
      <c r="L58" s="71">
        <v>1</v>
      </c>
      <c r="M58" s="71">
        <v>158</v>
      </c>
      <c r="N58" s="4">
        <f>COUNTIF(C58:D58,"*")</f>
        <v>0</v>
      </c>
      <c r="O58" s="4">
        <f>IF(J58&gt;0,IF(ROUNDUP(M58/Weights!$D$96,0)&gt;1,1,0),0)</f>
        <v>0</v>
      </c>
      <c r="P58" s="4">
        <f>IF(L58&gt;0,ROUNDUP(M58/Weights!$D$97,0),0)</f>
        <v>4</v>
      </c>
    </row>
    <row r="59" spans="1:16">
      <c r="A59" s="6" t="str">
        <f>CONCATENATE(B59,F59)</f>
        <v>ECON3450S2</v>
      </c>
      <c r="B59" s="118" t="s">
        <v>120</v>
      </c>
      <c r="E59" s="118" t="s">
        <v>553</v>
      </c>
      <c r="F59" s="71" t="s">
        <v>254</v>
      </c>
      <c r="I59" s="71">
        <v>13</v>
      </c>
      <c r="J59" s="71">
        <v>2</v>
      </c>
      <c r="K59" s="71">
        <v>12</v>
      </c>
      <c r="L59" s="71">
        <v>1</v>
      </c>
      <c r="M59" s="71">
        <v>31</v>
      </c>
      <c r="N59" s="4">
        <f>COUNTIF(C59:D59,"*")</f>
        <v>0</v>
      </c>
      <c r="O59" s="4">
        <f>IF(J59&gt;0,IF(ROUNDUP(M59/Weights!$D$96,0)&gt;1,1,0),0)</f>
        <v>0</v>
      </c>
      <c r="P59" s="4">
        <f>IF(L59&gt;0,ROUNDUP(M59/Weights!$D$97,0),0)</f>
        <v>1</v>
      </c>
    </row>
    <row r="60" spans="1:16">
      <c r="A60" s="6" t="str">
        <f>CONCATENATE(B60,F60)</f>
        <v>ECON3460S2</v>
      </c>
      <c r="B60" s="118" t="s">
        <v>570</v>
      </c>
      <c r="E60" s="118" t="s">
        <v>571</v>
      </c>
      <c r="F60" s="71" t="s">
        <v>254</v>
      </c>
      <c r="I60" s="71">
        <v>13</v>
      </c>
      <c r="J60" s="71">
        <v>2</v>
      </c>
      <c r="K60" s="71">
        <v>12</v>
      </c>
      <c r="L60" s="71">
        <v>1</v>
      </c>
      <c r="M60" s="71">
        <v>25</v>
      </c>
      <c r="N60" s="4">
        <f>COUNTIF(C60:D60,"*")</f>
        <v>0</v>
      </c>
      <c r="O60" s="4">
        <f>IF(J60&gt;0,IF(ROUNDUP(M60/Weights!$D$96,0)&gt;1,1,0),0)</f>
        <v>0</v>
      </c>
      <c r="P60" s="4">
        <f>IF(L60&gt;0,ROUNDUP(M60/Weights!$D$97,0),0)</f>
        <v>1</v>
      </c>
    </row>
    <row r="61" spans="1:16">
      <c r="A61" s="6" t="str">
        <f>CONCATENATE(B61,F61)</f>
        <v>ECON3510S1</v>
      </c>
      <c r="B61" s="47" t="s">
        <v>46</v>
      </c>
      <c r="C61" s="47"/>
      <c r="D61" s="47"/>
      <c r="E61" s="47" t="s">
        <v>47</v>
      </c>
      <c r="F61" s="71" t="s">
        <v>253</v>
      </c>
      <c r="I61" s="71">
        <v>13</v>
      </c>
      <c r="J61" s="71">
        <v>2</v>
      </c>
      <c r="K61" s="71">
        <v>12</v>
      </c>
      <c r="L61" s="71">
        <v>1</v>
      </c>
      <c r="M61" s="71">
        <v>125</v>
      </c>
      <c r="N61" s="4">
        <f>COUNTIF(C61:D61,"*")</f>
        <v>0</v>
      </c>
      <c r="O61" s="4">
        <f>IF(J61&gt;0,IF(ROUNDUP(M61/Weights!$D$96,0)&gt;1,1,0),0)</f>
        <v>0</v>
      </c>
      <c r="P61" s="4">
        <f>IF(L61&gt;0,ROUNDUP(M61/Weights!$D$97,0),0)</f>
        <v>4</v>
      </c>
    </row>
    <row r="62" spans="1:16">
      <c r="A62" s="6" t="str">
        <f>CONCATENATE(B62,F62)</f>
        <v>ECON3520S2</v>
      </c>
      <c r="B62" s="47" t="s">
        <v>90</v>
      </c>
      <c r="C62" s="47"/>
      <c r="D62" s="47"/>
      <c r="E62" s="47" t="s">
        <v>176</v>
      </c>
      <c r="F62" s="71" t="s">
        <v>254</v>
      </c>
      <c r="I62" s="71">
        <v>13</v>
      </c>
      <c r="J62" s="71">
        <v>2</v>
      </c>
      <c r="K62" s="71">
        <v>12</v>
      </c>
      <c r="L62" s="71">
        <v>1</v>
      </c>
      <c r="M62" s="71">
        <v>136</v>
      </c>
      <c r="N62" s="4">
        <f>COUNTIF(C62:D62,"*")</f>
        <v>0</v>
      </c>
      <c r="O62" s="4">
        <f>IF(J62&gt;0,IF(ROUNDUP(M62/Weights!$D$96,0)&gt;1,1,0),0)</f>
        <v>0</v>
      </c>
      <c r="P62" s="4">
        <f>IF(L62&gt;0,ROUNDUP(M62/Weights!$D$97,0),0)</f>
        <v>4</v>
      </c>
    </row>
    <row r="63" spans="1:16">
      <c r="A63" s="6" t="str">
        <f>CONCATENATE(B63,F63)</f>
        <v>ECON3700S1</v>
      </c>
      <c r="B63" s="47" t="s">
        <v>103</v>
      </c>
      <c r="C63" s="47"/>
      <c r="D63" s="47"/>
      <c r="E63" s="47" t="s">
        <v>104</v>
      </c>
      <c r="F63" s="71" t="s">
        <v>253</v>
      </c>
      <c r="I63" s="71">
        <v>13</v>
      </c>
      <c r="J63" s="71">
        <v>2</v>
      </c>
      <c r="K63" s="71">
        <v>12</v>
      </c>
      <c r="L63" s="71">
        <v>1</v>
      </c>
      <c r="M63" s="71">
        <v>72</v>
      </c>
      <c r="N63" s="4">
        <f>COUNTIF(C63:D63,"*")</f>
        <v>0</v>
      </c>
      <c r="O63" s="4">
        <f>IF(J63&gt;0,IF(ROUNDUP(M63/Weights!$D$96,0)&gt;1,1,0),0)</f>
        <v>0</v>
      </c>
      <c r="P63" s="4">
        <f>IF(L63&gt;0,ROUNDUP(M63/Weights!$D$97,0),0)</f>
        <v>2</v>
      </c>
    </row>
    <row r="64" spans="1:16">
      <c r="A64" s="6" t="str">
        <f>CONCATENATE(B64,F64)</f>
        <v>ECON3820S2</v>
      </c>
      <c r="B64" s="47" t="s">
        <v>239</v>
      </c>
      <c r="C64" s="47"/>
      <c r="D64" s="47"/>
      <c r="E64" s="47" t="s">
        <v>241</v>
      </c>
      <c r="F64" s="71" t="s">
        <v>254</v>
      </c>
      <c r="I64" s="71">
        <v>10</v>
      </c>
      <c r="J64" s="71">
        <v>2</v>
      </c>
      <c r="K64" s="71">
        <v>12</v>
      </c>
      <c r="L64" s="71">
        <v>1</v>
      </c>
      <c r="M64" s="71">
        <v>98</v>
      </c>
      <c r="N64" s="4">
        <f>COUNTIF(C64:D64,"*")</f>
        <v>0</v>
      </c>
      <c r="O64" s="4">
        <f>IF(J64&gt;0,IF(ROUNDUP(M64/Weights!$D$96,0)&gt;1,1,0),0)</f>
        <v>0</v>
      </c>
      <c r="P64" s="4">
        <f>IF(L64&gt;0,ROUNDUP(M64/Weights!$D$97,0),0)</f>
        <v>3</v>
      </c>
    </row>
    <row r="65" spans="1:16">
      <c r="A65" s="6" t="str">
        <f>CONCATENATE(B65,F65)</f>
        <v>ECON4390S2</v>
      </c>
      <c r="B65" s="47" t="s">
        <v>242</v>
      </c>
      <c r="C65" s="47"/>
      <c r="D65" s="47"/>
      <c r="E65" s="47" t="s">
        <v>180</v>
      </c>
      <c r="F65" s="71" t="s">
        <v>254</v>
      </c>
      <c r="I65" s="71">
        <v>13</v>
      </c>
      <c r="J65" s="71">
        <v>2</v>
      </c>
      <c r="M65" s="71">
        <v>3</v>
      </c>
      <c r="N65" s="4">
        <f>COUNTIF(C65:D65,"*")</f>
        <v>0</v>
      </c>
      <c r="O65" s="4">
        <f>IF(J65&gt;0,IF(ROUNDUP(M65/Weights!$D$96,0)&gt;1,1,0),0)</f>
        <v>0</v>
      </c>
      <c r="P65" s="4">
        <f>IF(L65&gt;0,ROUNDUP(M65/Weights!$D$97,0),0)</f>
        <v>0</v>
      </c>
    </row>
    <row r="66" spans="1:16">
      <c r="A66" s="6" t="str">
        <f>CONCATENATE(B66,F66)</f>
        <v>ECON6010S1</v>
      </c>
      <c r="B66" s="47" t="s">
        <v>34</v>
      </c>
      <c r="C66" s="47" t="s">
        <v>35</v>
      </c>
      <c r="D66" s="47"/>
      <c r="E66" s="47" t="s">
        <v>36</v>
      </c>
      <c r="F66" s="71" t="s">
        <v>253</v>
      </c>
      <c r="I66" s="71">
        <v>13</v>
      </c>
      <c r="J66" s="71">
        <v>2</v>
      </c>
      <c r="K66" s="71">
        <v>12</v>
      </c>
      <c r="L66" s="71">
        <v>1</v>
      </c>
      <c r="M66" s="71">
        <f>11+9</f>
        <v>20</v>
      </c>
      <c r="N66" s="4">
        <f>COUNTIF(C66:D66,"*")</f>
        <v>1</v>
      </c>
      <c r="O66" s="4">
        <f>IF(J66&gt;0,IF(ROUNDUP(M66/Weights!$D$96,0)&gt;1,1,0),0)</f>
        <v>0</v>
      </c>
      <c r="P66" s="4">
        <f>IF(L66&gt;0,ROUNDUP(M66/Weights!$D$97,0),0)</f>
        <v>1</v>
      </c>
    </row>
    <row r="67" spans="1:16">
      <c r="A67" s="6" t="str">
        <f>CONCATENATE(B67,F67)</f>
        <v>ECON6020S1</v>
      </c>
      <c r="B67" s="47" t="s">
        <v>69</v>
      </c>
      <c r="C67" s="47" t="s">
        <v>70</v>
      </c>
      <c r="D67" s="47"/>
      <c r="E67" s="47" t="s">
        <v>71</v>
      </c>
      <c r="F67" s="71" t="s">
        <v>253</v>
      </c>
      <c r="I67" s="71">
        <v>13</v>
      </c>
      <c r="J67" s="71">
        <v>2</v>
      </c>
      <c r="K67" s="71">
        <v>12</v>
      </c>
      <c r="L67" s="71">
        <v>1</v>
      </c>
      <c r="M67" s="71">
        <f>11+8</f>
        <v>19</v>
      </c>
      <c r="N67" s="4">
        <f>COUNTIF(C67:D67,"*")</f>
        <v>1</v>
      </c>
      <c r="O67" s="4">
        <f>IF(J67&gt;0,IF(ROUNDUP(M67/Weights!$D$96,0)&gt;1,1,0),0)</f>
        <v>0</v>
      </c>
      <c r="P67" s="4">
        <f>IF(L67&gt;0,ROUNDUP(M67/Weights!$D$97,0),0)</f>
        <v>1</v>
      </c>
    </row>
    <row r="68" spans="1:16">
      <c r="A68" s="6" t="str">
        <f>CONCATENATE(B68,F68)</f>
        <v>ECON6030S2</v>
      </c>
      <c r="B68" s="47" t="s">
        <v>111</v>
      </c>
      <c r="C68" s="47" t="s">
        <v>112</v>
      </c>
      <c r="D68" s="47"/>
      <c r="E68" s="47" t="s">
        <v>113</v>
      </c>
      <c r="F68" s="71" t="s">
        <v>254</v>
      </c>
      <c r="I68" s="71">
        <v>13</v>
      </c>
      <c r="J68" s="71">
        <v>3</v>
      </c>
      <c r="M68" s="71">
        <f>5+8</f>
        <v>13</v>
      </c>
      <c r="N68" s="4">
        <f>COUNTIF(C68:D68,"*")</f>
        <v>1</v>
      </c>
      <c r="O68" s="4">
        <f>IF(J68&gt;0,IF(ROUNDUP(M68/Weights!$D$96,0)&gt;1,1,0),0)</f>
        <v>0</v>
      </c>
      <c r="P68" s="4">
        <f>IF(L68&gt;0,ROUNDUP(M68/Weights!$D$97,0),0)</f>
        <v>0</v>
      </c>
    </row>
    <row r="69" spans="1:16">
      <c r="A69" s="6" t="str">
        <f>CONCATENATE(B69,F69)</f>
        <v>ECON6040S2</v>
      </c>
      <c r="B69" s="47" t="s">
        <v>84</v>
      </c>
      <c r="C69" s="47" t="s">
        <v>85</v>
      </c>
      <c r="D69" s="47"/>
      <c r="E69" s="47" t="s">
        <v>86</v>
      </c>
      <c r="F69" s="71" t="s">
        <v>254</v>
      </c>
      <c r="I69" s="71">
        <v>13</v>
      </c>
      <c r="J69" s="71">
        <v>3</v>
      </c>
      <c r="M69" s="71">
        <f>4+8</f>
        <v>12</v>
      </c>
      <c r="N69" s="4">
        <f>COUNTIF(C69:D69,"*")</f>
        <v>1</v>
      </c>
      <c r="O69" s="4">
        <f>IF(J69&gt;0,IF(ROUNDUP(M69/Weights!$D$96,0)&gt;1,1,0),0)</f>
        <v>0</v>
      </c>
      <c r="P69" s="4">
        <f>IF(L69&gt;0,ROUNDUP(M69/Weights!$D$97,0),0)</f>
        <v>0</v>
      </c>
    </row>
    <row r="70" spans="1:16">
      <c r="A70" s="6" t="str">
        <f>CONCATENATE(B70,F70)</f>
        <v>ECON6080S2</v>
      </c>
      <c r="B70" s="47" t="s">
        <v>166</v>
      </c>
      <c r="C70" s="47" t="s">
        <v>167</v>
      </c>
      <c r="D70" s="47"/>
      <c r="E70" s="47" t="s">
        <v>177</v>
      </c>
      <c r="F70" s="71" t="s">
        <v>254</v>
      </c>
      <c r="I70" s="71">
        <v>13</v>
      </c>
      <c r="J70" s="71">
        <v>3</v>
      </c>
      <c r="M70" s="71">
        <f>4+8</f>
        <v>12</v>
      </c>
      <c r="N70" s="4">
        <f>COUNTIF(C70:D70,"*")</f>
        <v>1</v>
      </c>
      <c r="O70" s="4">
        <f>IF(J70&gt;0,IF(ROUNDUP(M70/Weights!$D$96,0)&gt;1,1,0),0)</f>
        <v>0</v>
      </c>
      <c r="P70" s="4">
        <f>IF(L70&gt;0,ROUNDUP(M70/Weights!$D$97,0),0)</f>
        <v>0</v>
      </c>
    </row>
    <row r="71" spans="1:16">
      <c r="A71" s="6" t="str">
        <f>CONCATENATE(B71,F71)</f>
        <v>ECON6300S1</v>
      </c>
      <c r="B71" s="47" t="s">
        <v>96</v>
      </c>
      <c r="C71" s="47" t="s">
        <v>221</v>
      </c>
      <c r="D71" s="47" t="s">
        <v>222</v>
      </c>
      <c r="E71" s="47" t="s">
        <v>178</v>
      </c>
      <c r="F71" s="71" t="s">
        <v>253</v>
      </c>
      <c r="I71" s="71">
        <v>13</v>
      </c>
      <c r="J71" s="71">
        <v>2</v>
      </c>
      <c r="K71" s="71">
        <v>13</v>
      </c>
      <c r="L71" s="71">
        <v>2</v>
      </c>
      <c r="M71" s="71">
        <f>11+18+8</f>
        <v>37</v>
      </c>
      <c r="N71" s="4">
        <f>COUNTIF(C71:D71,"*")</f>
        <v>2</v>
      </c>
      <c r="O71" s="4">
        <f>IF(J71&gt;0,IF(ROUNDUP(M71/Weights!$D$96,0)&gt;1,1,0),0)</f>
        <v>0</v>
      </c>
      <c r="P71" s="4">
        <f>IF(L71&gt;0,ROUNDUP(M71/Weights!$D$97,0),0)</f>
        <v>1</v>
      </c>
    </row>
    <row r="72" spans="1:16">
      <c r="A72" s="6" t="str">
        <f>CONCATENATE(B72,F72)</f>
        <v>ECON6310S2</v>
      </c>
      <c r="B72" s="47" t="s">
        <v>107</v>
      </c>
      <c r="C72" s="47" t="s">
        <v>550</v>
      </c>
      <c r="D72" s="47"/>
      <c r="E72" s="47" t="s">
        <v>108</v>
      </c>
      <c r="F72" s="71" t="s">
        <v>254</v>
      </c>
      <c r="I72" s="71">
        <v>13</v>
      </c>
      <c r="J72" s="71">
        <v>3</v>
      </c>
      <c r="M72" s="71">
        <f>3+11</f>
        <v>14</v>
      </c>
      <c r="N72" s="4">
        <f>COUNTIF(C72:D72,"*")</f>
        <v>1</v>
      </c>
      <c r="O72" s="4">
        <f>IF(J72&gt;0,IF(ROUNDUP(M72/Weights!$D$96,0)&gt;1,1,0),0)</f>
        <v>0</v>
      </c>
      <c r="P72" s="4">
        <f>IF(L72&gt;0,ROUNDUP(M72/Weights!$D$97,0),0)</f>
        <v>0</v>
      </c>
    </row>
    <row r="73" spans="1:16">
      <c r="A73" s="6" t="str">
        <f>CONCATENATE(B73,F73)</f>
        <v>ECON6380S2</v>
      </c>
      <c r="B73" s="47" t="s">
        <v>172</v>
      </c>
      <c r="C73" s="47" t="s">
        <v>243</v>
      </c>
      <c r="D73" s="47" t="s">
        <v>244</v>
      </c>
      <c r="E73" s="47" t="s">
        <v>179</v>
      </c>
      <c r="F73" s="71" t="s">
        <v>254</v>
      </c>
      <c r="I73" s="71">
        <v>13</v>
      </c>
      <c r="J73" s="71">
        <v>2</v>
      </c>
      <c r="K73" s="71">
        <v>12</v>
      </c>
      <c r="L73" s="71">
        <v>1</v>
      </c>
      <c r="M73" s="71">
        <f>1+14+0</f>
        <v>15</v>
      </c>
      <c r="N73" s="4">
        <f>COUNTIF(C73:D73,"*")</f>
        <v>2</v>
      </c>
      <c r="O73" s="4">
        <f>IF(J73&gt;0,IF(ROUNDUP(M73/Weights!$D$96,0)&gt;1,1,0),0)</f>
        <v>0</v>
      </c>
      <c r="P73" s="4">
        <f>IF(L73&gt;0,ROUNDUP(M73/Weights!$D$97,0),0)</f>
        <v>1</v>
      </c>
    </row>
    <row r="74" spans="1:16">
      <c r="A74" s="6" t="str">
        <f>CONCATENATE(B74,F74)</f>
        <v>ECON6390S2</v>
      </c>
      <c r="B74" s="47" t="s">
        <v>160</v>
      </c>
      <c r="C74" s="47" t="s">
        <v>161</v>
      </c>
      <c r="D74" s="47"/>
      <c r="E74" s="47" t="s">
        <v>180</v>
      </c>
      <c r="F74" s="71" t="s">
        <v>254</v>
      </c>
      <c r="I74" s="71">
        <v>13</v>
      </c>
      <c r="J74" s="71">
        <v>2</v>
      </c>
      <c r="M74" s="71">
        <f>3+22</f>
        <v>25</v>
      </c>
      <c r="N74" s="4">
        <f>COUNTIF(C74:D74,"*")</f>
        <v>1</v>
      </c>
      <c r="O74" s="4">
        <f>IF(J74&gt;0,IF(ROUNDUP(M74/Weights!$D$96,0)&gt;1,1,0),0)</f>
        <v>0</v>
      </c>
      <c r="P74" s="4">
        <f>IF(L74&gt;0,ROUNDUP(M74/Weights!$D$97,0),0)</f>
        <v>0</v>
      </c>
    </row>
    <row r="75" spans="1:16">
      <c r="A75" s="6" t="str">
        <f>CONCATENATE(B75,F75)</f>
        <v>ECON6500S2</v>
      </c>
      <c r="B75" s="47" t="s">
        <v>2</v>
      </c>
      <c r="C75" s="47" t="s">
        <v>52</v>
      </c>
      <c r="D75" s="47"/>
      <c r="E75" s="47" t="s">
        <v>53</v>
      </c>
      <c r="F75" s="71" t="s">
        <v>254</v>
      </c>
      <c r="I75" s="71">
        <v>13</v>
      </c>
      <c r="J75" s="71">
        <v>2</v>
      </c>
      <c r="M75" s="71">
        <f>2+31</f>
        <v>33</v>
      </c>
      <c r="N75" s="4">
        <f>COUNTIF(C75:D75,"*")</f>
        <v>1</v>
      </c>
      <c r="O75" s="4">
        <f>IF(J75&gt;0,IF(ROUNDUP(M75/Weights!$D$96,0)&gt;1,1,0),0)</f>
        <v>0</v>
      </c>
      <c r="P75" s="4">
        <f>IF(L75&gt;0,ROUNDUP(M75/Weights!$D$97,0),0)</f>
        <v>0</v>
      </c>
    </row>
    <row r="76" spans="1:16">
      <c r="A76" s="6" t="str">
        <f>CONCATENATE(B76,F76)</f>
        <v>ECON6700S2</v>
      </c>
      <c r="B76" s="47" t="s">
        <v>124</v>
      </c>
      <c r="C76" s="47" t="s">
        <v>101</v>
      </c>
      <c r="D76" s="47"/>
      <c r="E76" s="47" t="s">
        <v>102</v>
      </c>
      <c r="F76" s="71" t="s">
        <v>254</v>
      </c>
      <c r="I76" s="71">
        <v>13</v>
      </c>
      <c r="J76" s="71">
        <v>2</v>
      </c>
      <c r="M76" s="71">
        <f>1+33</f>
        <v>34</v>
      </c>
      <c r="N76" s="4">
        <f>COUNTIF(C76:D76,"*")</f>
        <v>1</v>
      </c>
      <c r="O76" s="4">
        <f>IF(J76&gt;0,IF(ROUNDUP(M76/Weights!$D$96,0)&gt;1,1,0),0)</f>
        <v>0</v>
      </c>
      <c r="P76" s="4">
        <f>IF(L76&gt;0,ROUNDUP(M76/Weights!$D$97,0),0)</f>
        <v>0</v>
      </c>
    </row>
    <row r="77" spans="1:16">
      <c r="A77" s="6" t="str">
        <f>CONCATENATE(B77,F77)</f>
        <v>ECON6910S1</v>
      </c>
      <c r="B77" s="47" t="s">
        <v>37</v>
      </c>
      <c r="C77" s="47" t="s">
        <v>38</v>
      </c>
      <c r="D77" s="47"/>
      <c r="E77" s="47" t="s">
        <v>39</v>
      </c>
      <c r="F77" s="71" t="s">
        <v>253</v>
      </c>
      <c r="K77" s="71">
        <v>3</v>
      </c>
      <c r="L77" s="71">
        <v>4</v>
      </c>
      <c r="M77" s="71">
        <f>11+1</f>
        <v>12</v>
      </c>
      <c r="N77" s="4">
        <f>COUNTIF(C77:D77,"*")</f>
        <v>1</v>
      </c>
      <c r="O77" s="4">
        <f>IF(J77&gt;0,IF(ROUNDUP(M77/Weights!$D$96,0)&gt;1,1,0),0)</f>
        <v>0</v>
      </c>
      <c r="P77" s="4">
        <f>IF(L77&gt;0,ROUNDUP(M77/Weights!$D$97,0),0)</f>
        <v>1</v>
      </c>
    </row>
    <row r="78" spans="1:16">
      <c r="A78" s="6" t="str">
        <f>CONCATENATE(B78,F78)</f>
        <v>ECON6910S2</v>
      </c>
      <c r="B78" s="47" t="s">
        <v>37</v>
      </c>
      <c r="C78" s="47" t="s">
        <v>38</v>
      </c>
      <c r="D78" s="47"/>
      <c r="E78" s="47" t="s">
        <v>39</v>
      </c>
      <c r="F78" s="71" t="s">
        <v>254</v>
      </c>
      <c r="K78" s="71">
        <v>3</v>
      </c>
      <c r="L78" s="71">
        <v>4</v>
      </c>
      <c r="M78" s="71">
        <f>11+1</f>
        <v>12</v>
      </c>
      <c r="N78" s="4">
        <f>COUNTIF(C78:D78,"*")</f>
        <v>1</v>
      </c>
      <c r="O78" s="4">
        <f>IF(J78&gt;0,IF(ROUNDUP(M78/Weights!$D$96,0)&gt;1,1,0),0)</f>
        <v>0</v>
      </c>
      <c r="P78" s="4">
        <f>IF(L78&gt;0,ROUNDUP(M78/Weights!$D$97,0),0)</f>
        <v>1</v>
      </c>
    </row>
    <row r="79" spans="1:16">
      <c r="A79" s="6" t="str">
        <f>CONCATENATE(B79,F79)</f>
        <v>ECON7000S1</v>
      </c>
      <c r="B79" s="118" t="s">
        <v>163</v>
      </c>
      <c r="E79" s="118" t="s">
        <v>181</v>
      </c>
      <c r="F79" s="71" t="s">
        <v>253</v>
      </c>
      <c r="I79" s="71">
        <v>13</v>
      </c>
      <c r="J79" s="71">
        <v>2</v>
      </c>
      <c r="K79" s="71">
        <v>12</v>
      </c>
      <c r="L79" s="71">
        <v>1</v>
      </c>
      <c r="M79" s="71">
        <v>203</v>
      </c>
      <c r="N79" s="4">
        <f>COUNTIF(C79:D79,"*")</f>
        <v>0</v>
      </c>
      <c r="O79" s="4">
        <f>IF(J79&gt;0,IF(ROUNDUP(M79/Weights!$D$96,0)&gt;1,1,0),0)</f>
        <v>0</v>
      </c>
      <c r="P79" s="4">
        <f>IF(L79&gt;0,ROUNDUP(M79/Weights!$D$97,0),0)</f>
        <v>6</v>
      </c>
    </row>
    <row r="80" spans="1:16">
      <c r="A80" s="6" t="str">
        <f>CONCATENATE(B80,F80)</f>
        <v>ECON7000S1 (GC)</v>
      </c>
      <c r="B80" s="118" t="s">
        <v>163</v>
      </c>
      <c r="E80" s="118" t="s">
        <v>181</v>
      </c>
      <c r="F80" s="130" t="s">
        <v>796</v>
      </c>
      <c r="M80" s="71">
        <v>50</v>
      </c>
      <c r="N80" s="4">
        <f>COUNTIF(C80:D80,"*")</f>
        <v>0</v>
      </c>
      <c r="O80" s="4">
        <f>IF(J80&gt;0,IF(ROUNDUP(M80/Weights!$D$96,0)&gt;1,1,0),0)</f>
        <v>0</v>
      </c>
      <c r="P80" s="4">
        <f>IF(L80&gt;0,ROUNDUP(M80/Weights!$D$97,0),0)</f>
        <v>0</v>
      </c>
    </row>
    <row r="81" spans="1:16">
      <c r="A81" s="6" t="str">
        <f>CONCATENATE(B81,F81)</f>
        <v>ECON7000S2</v>
      </c>
      <c r="B81" s="118" t="s">
        <v>163</v>
      </c>
      <c r="E81" s="118" t="s">
        <v>181</v>
      </c>
      <c r="F81" s="71" t="s">
        <v>254</v>
      </c>
      <c r="I81" s="71">
        <v>13</v>
      </c>
      <c r="J81" s="71">
        <v>2</v>
      </c>
      <c r="K81" s="71">
        <v>12</v>
      </c>
      <c r="L81" s="71">
        <v>1</v>
      </c>
      <c r="M81" s="71">
        <v>211</v>
      </c>
      <c r="N81" s="4">
        <f>COUNTIF(C81:D81,"*")</f>
        <v>0</v>
      </c>
      <c r="O81" s="4">
        <f>IF(J81&gt;0,IF(ROUNDUP(M81/Weights!$D$96,0)&gt;1,1,0),0)</f>
        <v>0</v>
      </c>
      <c r="P81" s="4">
        <f>IF(L81&gt;0,ROUNDUP(M81/Weights!$D$97,0),0)</f>
        <v>6</v>
      </c>
    </row>
    <row r="82" spans="1:16">
      <c r="A82" s="6" t="str">
        <f>CONCATENATE(B82,F82)</f>
        <v>ECON7000S2 (GC)</v>
      </c>
      <c r="B82" s="118" t="s">
        <v>163</v>
      </c>
      <c r="E82" s="118" t="s">
        <v>181</v>
      </c>
      <c r="F82" s="130" t="s">
        <v>797</v>
      </c>
      <c r="M82" s="71">
        <v>50</v>
      </c>
      <c r="N82" s="4">
        <f>COUNTIF(C82:D82,"*")</f>
        <v>0</v>
      </c>
      <c r="O82" s="4">
        <f>IF(J82&gt;0,IF(ROUNDUP(M82/Weights!$D$96,0)&gt;1,1,0),0)</f>
        <v>0</v>
      </c>
      <c r="P82" s="4">
        <f>IF(L82&gt;0,ROUNDUP(M82/Weights!$D$97,0),0)</f>
        <v>0</v>
      </c>
    </row>
    <row r="83" spans="1:16">
      <c r="A83" s="6" t="str">
        <f>CONCATENATE(B83,F83)</f>
        <v>ECON7001S1</v>
      </c>
      <c r="B83" s="47" t="s">
        <v>147</v>
      </c>
      <c r="C83" s="47"/>
      <c r="D83" s="47"/>
      <c r="E83" s="47" t="s">
        <v>182</v>
      </c>
      <c r="F83" s="71" t="s">
        <v>253</v>
      </c>
      <c r="I83" s="71">
        <v>13</v>
      </c>
      <c r="J83" s="71">
        <v>2</v>
      </c>
      <c r="K83" s="71">
        <v>12</v>
      </c>
      <c r="L83" s="71">
        <v>1.5</v>
      </c>
      <c r="M83" s="71">
        <v>153</v>
      </c>
      <c r="N83" s="4">
        <f>COUNTIF(C83:D83,"*")</f>
        <v>0</v>
      </c>
      <c r="O83" s="4">
        <f>IF(J83&gt;0,IF(ROUNDUP(M83/Weights!$D$96,0)&gt;1,1,0),0)</f>
        <v>0</v>
      </c>
      <c r="P83" s="4">
        <f>IF(L83&gt;0,ROUNDUP(M83/Weights!$D$97,0),0)</f>
        <v>4</v>
      </c>
    </row>
    <row r="84" spans="1:16">
      <c r="A84" s="6" t="str">
        <f>CONCATENATE(B84,F84)</f>
        <v>ECON7001S1 (GC)</v>
      </c>
      <c r="B84" s="118" t="s">
        <v>147</v>
      </c>
      <c r="E84" s="118" t="s">
        <v>182</v>
      </c>
      <c r="F84" s="130" t="s">
        <v>796</v>
      </c>
      <c r="M84" s="71">
        <v>50</v>
      </c>
      <c r="N84" s="4">
        <f>COUNTIF(C84:D84,"*")</f>
        <v>0</v>
      </c>
      <c r="O84" s="4">
        <f>IF(J84&gt;0,IF(ROUNDUP(M84/Weights!$D$96,0)&gt;1,1,0),0)</f>
        <v>0</v>
      </c>
      <c r="P84" s="4">
        <f>IF(L84&gt;0,ROUNDUP(M84/Weights!$D$97,0),0)</f>
        <v>0</v>
      </c>
    </row>
    <row r="85" spans="1:16">
      <c r="A85" s="6" t="str">
        <f>CONCATENATE(B85,F85)</f>
        <v>ECON7001S2</v>
      </c>
      <c r="B85" s="47" t="s">
        <v>147</v>
      </c>
      <c r="C85" s="47"/>
      <c r="D85" s="47"/>
      <c r="E85" s="47" t="s">
        <v>182</v>
      </c>
      <c r="F85" s="71" t="s">
        <v>254</v>
      </c>
      <c r="I85" s="71">
        <v>13</v>
      </c>
      <c r="J85" s="71">
        <v>2</v>
      </c>
      <c r="K85" s="71">
        <v>12</v>
      </c>
      <c r="L85" s="71">
        <v>1.5</v>
      </c>
      <c r="M85" s="71">
        <v>135</v>
      </c>
      <c r="N85" s="4">
        <f>COUNTIF(C85:D85,"*")</f>
        <v>0</v>
      </c>
      <c r="O85" s="4">
        <f>IF(J85&gt;0,IF(ROUNDUP(M85/Weights!$D$96,0)&gt;1,1,0),0)</f>
        <v>0</v>
      </c>
      <c r="P85" s="4">
        <f>IF(L85&gt;0,ROUNDUP(M85/Weights!$D$97,0),0)</f>
        <v>4</v>
      </c>
    </row>
    <row r="86" spans="1:16">
      <c r="A86" s="6" t="str">
        <f>CONCATENATE(B86,F86)</f>
        <v>ECON7001S2 (GC)</v>
      </c>
      <c r="B86" s="118" t="s">
        <v>147</v>
      </c>
      <c r="E86" s="118" t="s">
        <v>182</v>
      </c>
      <c r="F86" s="130" t="s">
        <v>797</v>
      </c>
      <c r="M86" s="71">
        <v>50</v>
      </c>
      <c r="N86" s="4">
        <f>COUNTIF(C86:D86,"*")</f>
        <v>0</v>
      </c>
      <c r="O86" s="4">
        <f>IF(J86&gt;0,IF(ROUNDUP(M86/Weights!$D$96,0)&gt;1,1,0),0)</f>
        <v>0</v>
      </c>
      <c r="P86" s="4">
        <f>IF(L86&gt;0,ROUNDUP(M86/Weights!$D$97,0),0)</f>
        <v>0</v>
      </c>
    </row>
    <row r="87" spans="1:16">
      <c r="A87" s="6" t="str">
        <f>CONCATENATE(B87,F87)</f>
        <v>ECON7002S1</v>
      </c>
      <c r="B87" s="47" t="s">
        <v>50</v>
      </c>
      <c r="C87" s="47"/>
      <c r="D87" s="47"/>
      <c r="E87" s="47" t="s">
        <v>51</v>
      </c>
      <c r="F87" s="71" t="s">
        <v>253</v>
      </c>
      <c r="G87" s="71" t="s">
        <v>252</v>
      </c>
      <c r="I87" s="71">
        <v>13</v>
      </c>
      <c r="J87" s="71">
        <v>2</v>
      </c>
      <c r="K87" s="71">
        <v>12</v>
      </c>
      <c r="L87" s="71">
        <v>1</v>
      </c>
      <c r="M87" s="71">
        <v>367</v>
      </c>
      <c r="N87" s="4">
        <f>COUNTIF(C87:D87,"*")</f>
        <v>0</v>
      </c>
      <c r="O87" s="4">
        <f>IF(J87&gt;0,IF(ROUNDUP(M87/Weights!$D$96,0)&gt;1,1,0),0)</f>
        <v>0</v>
      </c>
      <c r="P87" s="4">
        <f>IF(L87&gt;0,ROUNDUP(M87/Weights!$D$97,0),0)</f>
        <v>10</v>
      </c>
    </row>
    <row r="88" spans="1:16" s="119" customFormat="1">
      <c r="A88" s="6" t="str">
        <f>CONCATENATE(B88,F88)</f>
        <v>ECON7002S2</v>
      </c>
      <c r="B88" s="47" t="s">
        <v>50</v>
      </c>
      <c r="C88" s="47"/>
      <c r="D88" s="47"/>
      <c r="E88" s="47" t="s">
        <v>51</v>
      </c>
      <c r="F88" s="71" t="s">
        <v>254</v>
      </c>
      <c r="G88" s="71" t="s">
        <v>252</v>
      </c>
      <c r="H88" s="71"/>
      <c r="I88" s="71">
        <v>13</v>
      </c>
      <c r="J88" s="71">
        <v>2</v>
      </c>
      <c r="K88" s="71">
        <v>12</v>
      </c>
      <c r="L88" s="71">
        <v>1</v>
      </c>
      <c r="M88" s="71">
        <v>349</v>
      </c>
      <c r="N88" s="4">
        <f>COUNTIF(C88:D88,"*")</f>
        <v>0</v>
      </c>
      <c r="O88" s="4">
        <f>IF(J88&gt;0,IF(ROUNDUP(M88/Weights!$D$96,0)&gt;1,1,0),0)</f>
        <v>0</v>
      </c>
      <c r="P88" s="4">
        <f>IF(L88&gt;0,ROUNDUP(M88/Weights!$D$97,0),0)</f>
        <v>9</v>
      </c>
    </row>
    <row r="89" spans="1:16">
      <c r="A89" s="6" t="str">
        <f>CONCATENATE(B89,F89)</f>
        <v>ECON7012S1</v>
      </c>
      <c r="B89" s="47" t="s">
        <v>106</v>
      </c>
      <c r="C89" s="47"/>
      <c r="D89" s="47"/>
      <c r="E89" s="47" t="s">
        <v>105</v>
      </c>
      <c r="F89" s="71" t="s">
        <v>253</v>
      </c>
      <c r="I89" s="71">
        <v>13</v>
      </c>
      <c r="J89" s="71">
        <v>2</v>
      </c>
      <c r="K89" s="71">
        <v>12</v>
      </c>
      <c r="L89" s="71">
        <v>1</v>
      </c>
      <c r="M89" s="71">
        <v>61</v>
      </c>
      <c r="N89" s="4">
        <f>COUNTIF(C89:D89,"*")</f>
        <v>0</v>
      </c>
      <c r="O89" s="4">
        <f>IF(J89&gt;0,IF(ROUNDUP(M89/Weights!$D$96,0)&gt;1,1,0),0)</f>
        <v>0</v>
      </c>
      <c r="P89" s="4">
        <f>IF(L89&gt;0,ROUNDUP(M89/Weights!$D$97,0),0)</f>
        <v>2</v>
      </c>
    </row>
    <row r="90" spans="1:16">
      <c r="A90" s="6" t="str">
        <f>CONCATENATE(B90,F90)</f>
        <v>ECON7012TP4</v>
      </c>
      <c r="B90" s="47" t="s">
        <v>106</v>
      </c>
      <c r="C90" s="47"/>
      <c r="D90" s="47"/>
      <c r="E90" s="47" t="s">
        <v>105</v>
      </c>
      <c r="F90" s="71" t="s">
        <v>202</v>
      </c>
      <c r="I90" s="71">
        <v>13</v>
      </c>
      <c r="J90" s="71">
        <v>2</v>
      </c>
      <c r="K90" s="71">
        <v>12</v>
      </c>
      <c r="L90" s="71">
        <v>1</v>
      </c>
      <c r="M90" s="71">
        <v>32</v>
      </c>
      <c r="N90" s="4">
        <f>COUNTIF(C90:D90,"*")</f>
        <v>0</v>
      </c>
      <c r="O90" s="4">
        <f>IF(J90&gt;0,IF(ROUNDUP(M90/Weights!$D$96,0)&gt;1,1,0),0)</f>
        <v>0</v>
      </c>
      <c r="P90" s="4">
        <f>IF(L90&gt;0,ROUNDUP(M90/Weights!$D$97,0),0)</f>
        <v>1</v>
      </c>
    </row>
    <row r="91" spans="1:16">
      <c r="A91" s="6" t="str">
        <f>CONCATENATE(B91,F91)</f>
        <v>ECON7012TP5</v>
      </c>
      <c r="B91" s="47" t="s">
        <v>106</v>
      </c>
      <c r="C91" s="47"/>
      <c r="D91" s="47"/>
      <c r="E91" s="47" t="s">
        <v>105</v>
      </c>
      <c r="F91" s="71" t="s">
        <v>554</v>
      </c>
      <c r="I91" s="71">
        <v>13</v>
      </c>
      <c r="J91" s="71">
        <v>2</v>
      </c>
      <c r="K91" s="71">
        <v>12</v>
      </c>
      <c r="L91" s="71">
        <v>1</v>
      </c>
      <c r="M91" s="71">
        <v>31</v>
      </c>
      <c r="N91" s="4">
        <f>COUNTIF(C91:D91,"*")</f>
        <v>0</v>
      </c>
      <c r="O91" s="4">
        <f>IF(J91&gt;0,IF(ROUNDUP(M91/Weights!$D$96,0)&gt;1,1,0),0)</f>
        <v>0</v>
      </c>
      <c r="P91" s="4">
        <f>IF(L91&gt;0,ROUNDUP(M91/Weights!$D$97,0),0)</f>
        <v>1</v>
      </c>
    </row>
    <row r="92" spans="1:16">
      <c r="A92" s="6" t="str">
        <f>CONCATENATE(B92,F92)</f>
        <v>ECON7012TP6</v>
      </c>
      <c r="B92" s="47" t="s">
        <v>106</v>
      </c>
      <c r="C92" s="47"/>
      <c r="D92" s="47"/>
      <c r="E92" s="47" t="s">
        <v>105</v>
      </c>
      <c r="F92" s="71" t="s">
        <v>203</v>
      </c>
      <c r="I92" s="71">
        <v>13</v>
      </c>
      <c r="J92" s="71">
        <v>2</v>
      </c>
      <c r="K92" s="71">
        <v>12</v>
      </c>
      <c r="L92" s="71">
        <v>1</v>
      </c>
      <c r="M92" s="71">
        <v>44</v>
      </c>
      <c r="N92" s="4">
        <f>COUNTIF(C92:D92,"*")</f>
        <v>0</v>
      </c>
      <c r="O92" s="4">
        <f>IF(J92&gt;0,IF(ROUNDUP(M92/Weights!$D$96,0)&gt;1,1,0),0)</f>
        <v>0</v>
      </c>
      <c r="P92" s="4">
        <f>IF(L92&gt;0,ROUNDUP(M92/Weights!$D$97,0),0)</f>
        <v>2</v>
      </c>
    </row>
    <row r="93" spans="1:16">
      <c r="A93" s="6" t="str">
        <f>CONCATENATE(B93,F93)</f>
        <v>ECON7021S1</v>
      </c>
      <c r="B93" s="47" t="s">
        <v>151</v>
      </c>
      <c r="C93" s="47"/>
      <c r="D93" s="47"/>
      <c r="E93" s="47" t="s">
        <v>183</v>
      </c>
      <c r="F93" s="71" t="s">
        <v>253</v>
      </c>
      <c r="G93" s="71" t="s">
        <v>252</v>
      </c>
      <c r="I93" s="71">
        <v>13</v>
      </c>
      <c r="J93" s="71">
        <v>2</v>
      </c>
      <c r="K93" s="71">
        <v>12</v>
      </c>
      <c r="L93" s="71">
        <v>1</v>
      </c>
      <c r="M93" s="71">
        <v>378</v>
      </c>
      <c r="N93" s="4">
        <f>COUNTIF(C93:D93,"*")</f>
        <v>0</v>
      </c>
      <c r="O93" s="4">
        <f>IF(J93&gt;0,IF(ROUNDUP(M93/Weights!$D$96,0)&gt;1,1,0),0)</f>
        <v>0</v>
      </c>
      <c r="P93" s="4">
        <f>IF(L93&gt;0,ROUNDUP(M93/Weights!$D$97,0),0)</f>
        <v>10</v>
      </c>
    </row>
    <row r="94" spans="1:16">
      <c r="A94" s="6" t="str">
        <f>CONCATENATE(B94,F94)</f>
        <v>ECON7021S2</v>
      </c>
      <c r="B94" s="47" t="s">
        <v>151</v>
      </c>
      <c r="C94" s="47"/>
      <c r="D94" s="47"/>
      <c r="E94" s="47" t="s">
        <v>183</v>
      </c>
      <c r="F94" s="71" t="s">
        <v>254</v>
      </c>
      <c r="G94" s="71" t="s">
        <v>252</v>
      </c>
      <c r="I94" s="71">
        <v>13</v>
      </c>
      <c r="J94" s="71">
        <v>2</v>
      </c>
      <c r="K94" s="71">
        <v>12</v>
      </c>
      <c r="L94" s="71">
        <v>1</v>
      </c>
      <c r="M94" s="71">
        <v>524</v>
      </c>
      <c r="N94" s="4">
        <f>COUNTIF(C94:D94,"*")</f>
        <v>0</v>
      </c>
      <c r="O94" s="4">
        <f>IF(J94&gt;0,IF(ROUNDUP(M94/Weights!$D$96,0)&gt;1,1,0),0)</f>
        <v>0</v>
      </c>
      <c r="P94" s="4">
        <f>IF(L94&gt;0,ROUNDUP(M94/Weights!$D$97,0),0)</f>
        <v>14</v>
      </c>
    </row>
    <row r="95" spans="1:16">
      <c r="A95" s="6" t="str">
        <f>CONCATENATE(B95,F95)</f>
        <v>ECON7030S1</v>
      </c>
      <c r="B95" s="47" t="s">
        <v>67</v>
      </c>
      <c r="C95" s="47"/>
      <c r="D95" s="47"/>
      <c r="E95" s="47" t="s">
        <v>68</v>
      </c>
      <c r="F95" s="71" t="s">
        <v>253</v>
      </c>
      <c r="I95" s="71">
        <v>13</v>
      </c>
      <c r="J95" s="71">
        <v>2</v>
      </c>
      <c r="K95" s="71">
        <v>12</v>
      </c>
      <c r="L95" s="71">
        <v>1</v>
      </c>
      <c r="M95" s="71">
        <v>136</v>
      </c>
      <c r="N95" s="4">
        <f>COUNTIF(C95:D95,"*")</f>
        <v>0</v>
      </c>
      <c r="O95" s="4">
        <f>IF(J95&gt;0,IF(ROUNDUP(M95/Weights!$D$96,0)&gt;1,1,0),0)</f>
        <v>0</v>
      </c>
      <c r="P95" s="4">
        <f>IF(L95&gt;0,ROUNDUP(M95/Weights!$D$97,0),0)</f>
        <v>4</v>
      </c>
    </row>
    <row r="96" spans="1:16">
      <c r="A96" s="6" t="str">
        <f>CONCATENATE(B96,F96)</f>
        <v>ECON7030S3</v>
      </c>
      <c r="B96" s="118" t="s">
        <v>67</v>
      </c>
      <c r="E96" s="118" t="s">
        <v>68</v>
      </c>
      <c r="F96" s="71" t="s">
        <v>255</v>
      </c>
      <c r="I96" s="71">
        <v>8</v>
      </c>
      <c r="J96" s="71">
        <v>4</v>
      </c>
      <c r="K96" s="71">
        <v>8</v>
      </c>
      <c r="L96" s="71">
        <v>2</v>
      </c>
      <c r="M96" s="71">
        <v>63</v>
      </c>
      <c r="N96" s="4">
        <f>COUNTIF(C96:D96,"*")</f>
        <v>0</v>
      </c>
      <c r="O96" s="4">
        <f>IF(J96&gt;0,IF(ROUNDUP(M96/Weights!$D$96,0)&gt;1,1,0),0)</f>
        <v>0</v>
      </c>
      <c r="P96" s="4">
        <f>IF(L96&gt;0,ROUNDUP(M96/Weights!$D$97,0),0)</f>
        <v>2</v>
      </c>
    </row>
    <row r="97" spans="1:16">
      <c r="A97" s="6" t="str">
        <f>CONCATENATE(B97,F97)</f>
        <v>ECON7040S1</v>
      </c>
      <c r="B97" s="118" t="s">
        <v>41</v>
      </c>
      <c r="E97" s="118" t="s">
        <v>184</v>
      </c>
      <c r="F97" s="71" t="s">
        <v>253</v>
      </c>
      <c r="I97" s="71">
        <v>13</v>
      </c>
      <c r="J97" s="71">
        <v>2</v>
      </c>
      <c r="K97" s="71">
        <v>12</v>
      </c>
      <c r="L97" s="71">
        <v>1</v>
      </c>
      <c r="M97" s="71">
        <v>95</v>
      </c>
      <c r="N97" s="4">
        <f>COUNTIF(C97:D97,"*")</f>
        <v>0</v>
      </c>
      <c r="O97" s="4">
        <f>IF(J97&gt;0,IF(ROUNDUP(M97/Weights!$D$96,0)&gt;1,1,0),0)</f>
        <v>0</v>
      </c>
      <c r="P97" s="4">
        <f>IF(L97&gt;0,ROUNDUP(M97/Weights!$D$97,0),0)</f>
        <v>3</v>
      </c>
    </row>
    <row r="98" spans="1:16">
      <c r="A98" s="6" t="str">
        <f>CONCATENATE(B98,F98)</f>
        <v>ECON7060S1</v>
      </c>
      <c r="B98" s="118" t="s">
        <v>59</v>
      </c>
      <c r="E98" s="118" t="s">
        <v>60</v>
      </c>
      <c r="F98" s="71" t="s">
        <v>253</v>
      </c>
      <c r="I98" s="71">
        <v>13</v>
      </c>
      <c r="J98" s="71">
        <v>2</v>
      </c>
      <c r="K98" s="71">
        <v>12</v>
      </c>
      <c r="L98" s="71">
        <v>2</v>
      </c>
      <c r="M98" s="71">
        <v>32</v>
      </c>
      <c r="N98" s="4">
        <f>COUNTIF(C98:D98,"*")</f>
        <v>0</v>
      </c>
      <c r="O98" s="4">
        <f>IF(J98&gt;0,IF(ROUNDUP(M98/Weights!$D$96,0)&gt;1,1,0),0)</f>
        <v>0</v>
      </c>
      <c r="P98" s="4">
        <f>IF(L98&gt;0,ROUNDUP(M98/Weights!$D$97,0),0)</f>
        <v>1</v>
      </c>
    </row>
    <row r="99" spans="1:16">
      <c r="A99" s="6" t="str">
        <f>CONCATENATE(B99,F99)</f>
        <v>ECON7070S1</v>
      </c>
      <c r="B99" s="118" t="s">
        <v>155</v>
      </c>
      <c r="E99" s="118" t="s">
        <v>185</v>
      </c>
      <c r="F99" s="71" t="s">
        <v>253</v>
      </c>
      <c r="I99" s="71">
        <v>13</v>
      </c>
      <c r="J99" s="71">
        <v>2</v>
      </c>
      <c r="K99" s="71">
        <v>12</v>
      </c>
      <c r="L99" s="71">
        <v>1</v>
      </c>
      <c r="M99" s="71">
        <v>231</v>
      </c>
      <c r="N99" s="4">
        <f>COUNTIF(C99:D99,"*")</f>
        <v>0</v>
      </c>
      <c r="O99" s="4">
        <f>IF(J99&gt;0,IF(ROUNDUP(M99/Weights!$D$96,0)&gt;1,1,0),0)</f>
        <v>0</v>
      </c>
      <c r="P99" s="4">
        <f>IF(L99&gt;0,ROUNDUP(M99/Weights!$D$97,0),0)</f>
        <v>6</v>
      </c>
    </row>
    <row r="100" spans="1:16">
      <c r="A100" s="6" t="str">
        <f>CONCATENATE(B100,F100)</f>
        <v>ECON7070S3</v>
      </c>
      <c r="B100" s="118" t="s">
        <v>155</v>
      </c>
      <c r="E100" s="118" t="s">
        <v>185</v>
      </c>
      <c r="F100" s="71" t="s">
        <v>255</v>
      </c>
      <c r="I100" s="71">
        <v>7</v>
      </c>
      <c r="J100" s="71">
        <v>4</v>
      </c>
      <c r="K100" s="71">
        <v>7</v>
      </c>
      <c r="L100" s="71">
        <v>1</v>
      </c>
      <c r="M100" s="71">
        <v>104</v>
      </c>
      <c r="N100" s="4">
        <f>COUNTIF(C100:D100,"*")</f>
        <v>0</v>
      </c>
      <c r="O100" s="4">
        <f>IF(J100&gt;0,IF(ROUNDUP(M100/Weights!$D$96,0)&gt;1,1,0),0)</f>
        <v>0</v>
      </c>
      <c r="P100" s="4">
        <f>IF(L100&gt;0,ROUNDUP(M100/Weights!$D$97,0),0)</f>
        <v>3</v>
      </c>
    </row>
    <row r="101" spans="1:16">
      <c r="A101" s="6" t="str">
        <f>CONCATENATE(B101,F101)</f>
        <v>ECON7110S1</v>
      </c>
      <c r="B101" s="47" t="s">
        <v>162</v>
      </c>
      <c r="C101" s="47"/>
      <c r="D101" s="47"/>
      <c r="E101" s="47" t="s">
        <v>186</v>
      </c>
      <c r="F101" s="71" t="s">
        <v>253</v>
      </c>
      <c r="I101" s="71">
        <v>13</v>
      </c>
      <c r="J101" s="71">
        <v>2</v>
      </c>
      <c r="K101" s="71">
        <v>12</v>
      </c>
      <c r="L101" s="71">
        <v>1</v>
      </c>
      <c r="M101" s="71">
        <v>243</v>
      </c>
      <c r="N101" s="4">
        <f>COUNTIF(C101:D101,"*")</f>
        <v>0</v>
      </c>
      <c r="O101" s="4">
        <f>IF(J101&gt;0,IF(ROUNDUP(M101/Weights!$D$96,0)&gt;1,1,0),0)</f>
        <v>0</v>
      </c>
      <c r="P101" s="4">
        <f>IF(L101&gt;0,ROUNDUP(M101/Weights!$D$97,0),0)</f>
        <v>7</v>
      </c>
    </row>
    <row r="102" spans="1:16">
      <c r="A102" s="6" t="str">
        <f>CONCATENATE(B102,F102)</f>
        <v>ECON7110S2</v>
      </c>
      <c r="B102" s="47" t="s">
        <v>162</v>
      </c>
      <c r="C102" s="47"/>
      <c r="D102" s="47"/>
      <c r="E102" s="47" t="s">
        <v>186</v>
      </c>
      <c r="F102" s="71" t="s">
        <v>254</v>
      </c>
      <c r="G102" s="71" t="s">
        <v>252</v>
      </c>
      <c r="I102" s="71">
        <v>13</v>
      </c>
      <c r="J102" s="71">
        <v>2</v>
      </c>
      <c r="K102" s="71">
        <v>12</v>
      </c>
      <c r="L102" s="71">
        <v>1</v>
      </c>
      <c r="M102" s="71">
        <v>322</v>
      </c>
      <c r="N102" s="4">
        <f>COUNTIF(C102:D102,"*")</f>
        <v>0</v>
      </c>
      <c r="O102" s="4">
        <f>IF(J102&gt;0,IF(ROUNDUP(M102/Weights!$D$96,0)&gt;1,1,0),0)</f>
        <v>0</v>
      </c>
      <c r="P102" s="4">
        <f>IF(L102&gt;0,ROUNDUP(M102/Weights!$D$97,0),0)</f>
        <v>9</v>
      </c>
    </row>
    <row r="103" spans="1:16">
      <c r="A103" s="6" t="str">
        <f>CONCATENATE(B103,F103)</f>
        <v>ECON7150S1</v>
      </c>
      <c r="B103" s="47" t="s">
        <v>149</v>
      </c>
      <c r="C103" s="47"/>
      <c r="D103" s="47"/>
      <c r="E103" s="47" t="s">
        <v>286</v>
      </c>
      <c r="F103" s="71" t="s">
        <v>253</v>
      </c>
      <c r="I103" s="71">
        <v>13</v>
      </c>
      <c r="J103" s="71">
        <v>2</v>
      </c>
      <c r="K103" s="71">
        <v>12</v>
      </c>
      <c r="L103" s="71">
        <v>1.5</v>
      </c>
      <c r="M103" s="71">
        <v>209</v>
      </c>
      <c r="N103" s="4">
        <f>COUNTIF(C103:D103,"*")</f>
        <v>0</v>
      </c>
      <c r="O103" s="4">
        <f>IF(J103&gt;0,IF(ROUNDUP(M103/Weights!$D$96,0)&gt;1,1,0),0)</f>
        <v>0</v>
      </c>
      <c r="P103" s="4">
        <f>IF(L103&gt;0,ROUNDUP(M103/Weights!$D$97,0),0)</f>
        <v>6</v>
      </c>
    </row>
    <row r="104" spans="1:16">
      <c r="A104" s="6" t="str">
        <f>CONCATENATE(B104,F104)</f>
        <v>ECON7150S2</v>
      </c>
      <c r="B104" s="47" t="s">
        <v>149</v>
      </c>
      <c r="C104" s="47"/>
      <c r="D104" s="47"/>
      <c r="E104" s="47" t="s">
        <v>286</v>
      </c>
      <c r="F104" s="71" t="s">
        <v>254</v>
      </c>
      <c r="I104" s="71">
        <v>13</v>
      </c>
      <c r="J104" s="71">
        <v>2</v>
      </c>
      <c r="K104" s="71">
        <v>12</v>
      </c>
      <c r="L104" s="71">
        <v>1.5</v>
      </c>
      <c r="M104" s="71">
        <v>224</v>
      </c>
      <c r="N104" s="4">
        <f>COUNTIF(C104:D104,"*")</f>
        <v>0</v>
      </c>
      <c r="O104" s="4">
        <f>IF(J104&gt;0,IF(ROUNDUP(M104/Weights!$D$96,0)&gt;1,1,0),0)</f>
        <v>0</v>
      </c>
      <c r="P104" s="4">
        <f>IF(L104&gt;0,ROUNDUP(M104/Weights!$D$97,0),0)</f>
        <v>6</v>
      </c>
    </row>
    <row r="105" spans="1:16">
      <c r="A105" s="6" t="str">
        <f>CONCATENATE(B105,F105)</f>
        <v>ECON7200S1</v>
      </c>
      <c r="B105" s="47" t="s">
        <v>30</v>
      </c>
      <c r="C105" s="47"/>
      <c r="D105" s="47"/>
      <c r="E105" s="47" t="s">
        <v>31</v>
      </c>
      <c r="F105" s="71" t="s">
        <v>253</v>
      </c>
      <c r="I105" s="71">
        <v>13</v>
      </c>
      <c r="J105" s="71">
        <v>2</v>
      </c>
      <c r="K105" s="71">
        <v>12</v>
      </c>
      <c r="L105" s="71">
        <v>1.5</v>
      </c>
      <c r="M105" s="71">
        <v>232</v>
      </c>
      <c r="N105" s="4">
        <f>COUNTIF(C105:D105,"*")</f>
        <v>0</v>
      </c>
      <c r="O105" s="4">
        <f>IF(J105&gt;0,IF(ROUNDUP(M105/Weights!$D$96,0)&gt;1,1,0),0)</f>
        <v>0</v>
      </c>
      <c r="P105" s="4">
        <f>IF(L105&gt;0,ROUNDUP(M105/Weights!$D$97,0),0)</f>
        <v>6</v>
      </c>
    </row>
    <row r="106" spans="1:16">
      <c r="A106" s="6" t="str">
        <f>CONCATENATE(B106,F106)</f>
        <v>ECON7200S2</v>
      </c>
      <c r="B106" s="47" t="s">
        <v>30</v>
      </c>
      <c r="C106" s="47"/>
      <c r="D106" s="47"/>
      <c r="E106" s="47" t="s">
        <v>31</v>
      </c>
      <c r="F106" s="71" t="s">
        <v>254</v>
      </c>
      <c r="I106" s="71">
        <v>13</v>
      </c>
      <c r="J106" s="71">
        <v>2</v>
      </c>
      <c r="K106" s="71">
        <v>12</v>
      </c>
      <c r="L106" s="71">
        <v>1.5</v>
      </c>
      <c r="M106" s="71">
        <v>268</v>
      </c>
      <c r="N106" s="4">
        <f>COUNTIF(C106:D106,"*")</f>
        <v>0</v>
      </c>
      <c r="O106" s="4">
        <f>IF(J106&gt;0,IF(ROUNDUP(M106/Weights!$D$96,0)&gt;1,1,0),0)</f>
        <v>0</v>
      </c>
      <c r="P106" s="4">
        <f>IF(L106&gt;0,ROUNDUP(M106/Weights!$D$97,0),0)</f>
        <v>7</v>
      </c>
    </row>
    <row r="107" spans="1:16">
      <c r="A107" s="6" t="str">
        <f>CONCATENATE(B107,F107)</f>
        <v>ECON7300S1</v>
      </c>
      <c r="B107" s="47" t="s">
        <v>3</v>
      </c>
      <c r="C107" s="47"/>
      <c r="D107" s="47"/>
      <c r="E107" s="47" t="s">
        <v>545</v>
      </c>
      <c r="F107" s="71" t="s">
        <v>253</v>
      </c>
      <c r="G107" s="71" t="s">
        <v>252</v>
      </c>
      <c r="I107" s="71">
        <v>13</v>
      </c>
      <c r="J107" s="71">
        <v>2</v>
      </c>
      <c r="K107" s="71">
        <v>12</v>
      </c>
      <c r="L107" s="71">
        <v>2</v>
      </c>
      <c r="M107" s="71">
        <v>381</v>
      </c>
      <c r="N107" s="4">
        <f>COUNTIF(C107:D107,"*")</f>
        <v>0</v>
      </c>
      <c r="O107" s="4">
        <f>IF(J107&gt;0,IF(ROUNDUP(M107/Weights!$D$96,0)&gt;1,1,0),0)</f>
        <v>0</v>
      </c>
      <c r="P107" s="4">
        <f>IF(L107&gt;0,ROUNDUP(M107/Weights!$D$97,0),0)</f>
        <v>10</v>
      </c>
    </row>
    <row r="108" spans="1:16">
      <c r="A108" s="6" t="str">
        <f>CONCATENATE(B108,F108)</f>
        <v>ECON7300S2</v>
      </c>
      <c r="B108" s="47" t="s">
        <v>3</v>
      </c>
      <c r="C108" s="47"/>
      <c r="D108" s="47"/>
      <c r="E108" s="47" t="s">
        <v>545</v>
      </c>
      <c r="F108" s="71" t="s">
        <v>254</v>
      </c>
      <c r="G108" s="71" t="s">
        <v>252</v>
      </c>
      <c r="I108" s="71">
        <v>13</v>
      </c>
      <c r="J108" s="71">
        <v>2</v>
      </c>
      <c r="K108" s="71">
        <v>12</v>
      </c>
      <c r="L108" s="71">
        <v>2</v>
      </c>
      <c r="M108" s="71">
        <v>467</v>
      </c>
      <c r="N108" s="4">
        <f>COUNTIF(C108:D108,"*")</f>
        <v>0</v>
      </c>
      <c r="O108" s="4">
        <f>IF(J108&gt;0,IF(ROUNDUP(M108/Weights!$D$96,0)&gt;1,1,0),0)</f>
        <v>0</v>
      </c>
      <c r="P108" s="4">
        <f>IF(L108&gt;0,ROUNDUP(M108/Weights!$D$97,0),0)</f>
        <v>12</v>
      </c>
    </row>
    <row r="109" spans="1:16">
      <c r="A109" s="6" t="str">
        <f>CONCATENATE(B109,F109)</f>
        <v>ECON7310S1</v>
      </c>
      <c r="B109" s="47" t="s">
        <v>94</v>
      </c>
      <c r="C109" s="47"/>
      <c r="D109" s="47"/>
      <c r="E109" s="47" t="s">
        <v>187</v>
      </c>
      <c r="F109" s="71" t="s">
        <v>253</v>
      </c>
      <c r="I109" s="71">
        <v>13</v>
      </c>
      <c r="J109" s="71">
        <v>2</v>
      </c>
      <c r="K109" s="71">
        <v>13</v>
      </c>
      <c r="L109" s="71">
        <v>2</v>
      </c>
      <c r="M109" s="71">
        <v>256</v>
      </c>
      <c r="N109" s="4">
        <f>COUNTIF(C109:D109,"*")</f>
        <v>0</v>
      </c>
      <c r="O109" s="4">
        <f>IF(J109&gt;0,IF(ROUNDUP(M109/Weights!$D$96,0)&gt;1,1,0),0)</f>
        <v>0</v>
      </c>
      <c r="P109" s="4">
        <f>IF(L109&gt;0,ROUNDUP(M109/Weights!$D$97,0),0)</f>
        <v>7</v>
      </c>
    </row>
    <row r="110" spans="1:16">
      <c r="A110" s="6" t="str">
        <f>CONCATENATE(B110,F110)</f>
        <v>ECON7310S2</v>
      </c>
      <c r="B110" s="47" t="s">
        <v>94</v>
      </c>
      <c r="C110" s="47"/>
      <c r="D110" s="47"/>
      <c r="E110" s="47" t="s">
        <v>187</v>
      </c>
      <c r="F110" s="71" t="s">
        <v>254</v>
      </c>
      <c r="G110" s="71" t="s">
        <v>252</v>
      </c>
      <c r="I110" s="71">
        <v>13</v>
      </c>
      <c r="J110" s="71">
        <v>2</v>
      </c>
      <c r="K110" s="71">
        <v>13</v>
      </c>
      <c r="L110" s="71">
        <v>2</v>
      </c>
      <c r="M110" s="71">
        <v>383</v>
      </c>
      <c r="N110" s="4">
        <f>COUNTIF(C110:D110,"*")</f>
        <v>0</v>
      </c>
      <c r="O110" s="4">
        <f>IF(J110&gt;0,IF(ROUNDUP(M110/Weights!$D$96,0)&gt;1,1,0),0)</f>
        <v>0</v>
      </c>
      <c r="P110" s="4">
        <f>IF(L110&gt;0,ROUNDUP(M110/Weights!$D$97,0),0)</f>
        <v>10</v>
      </c>
    </row>
    <row r="111" spans="1:16">
      <c r="A111" s="6" t="str">
        <f>CONCATENATE(B111,F111)</f>
        <v>ECON7321S1</v>
      </c>
      <c r="B111" s="47" t="s">
        <v>153</v>
      </c>
      <c r="C111" s="47"/>
      <c r="D111" s="47"/>
      <c r="E111" s="47" t="s">
        <v>217</v>
      </c>
      <c r="F111" s="71" t="s">
        <v>253</v>
      </c>
      <c r="I111" s="71">
        <v>13</v>
      </c>
      <c r="J111" s="71">
        <v>2</v>
      </c>
      <c r="K111" s="71">
        <v>12</v>
      </c>
      <c r="L111" s="71">
        <v>2</v>
      </c>
      <c r="M111" s="71">
        <v>24</v>
      </c>
      <c r="N111" s="4">
        <f>COUNTIF(C111:D111,"*")</f>
        <v>0</v>
      </c>
      <c r="O111" s="4">
        <f>IF(J111&gt;0,IF(ROUNDUP(M111/Weights!$D$96,0)&gt;1,1,0),0)</f>
        <v>0</v>
      </c>
      <c r="P111" s="4">
        <f>IF(L111&gt;0,ROUNDUP(M111/Weights!$D$97,0),0)</f>
        <v>1</v>
      </c>
    </row>
    <row r="112" spans="1:16">
      <c r="A112" s="6" t="str">
        <f>CONCATENATE(B112,F112)</f>
        <v>ECON7322S2</v>
      </c>
      <c r="B112" s="47" t="s">
        <v>92</v>
      </c>
      <c r="C112" s="47"/>
      <c r="D112" s="47"/>
      <c r="E112" s="47" t="s">
        <v>235</v>
      </c>
      <c r="F112" s="71" t="s">
        <v>254</v>
      </c>
      <c r="I112" s="71">
        <v>13</v>
      </c>
      <c r="J112" s="71">
        <v>2</v>
      </c>
      <c r="K112" s="71">
        <v>12</v>
      </c>
      <c r="L112" s="71">
        <v>1.5</v>
      </c>
      <c r="M112" s="71">
        <v>110</v>
      </c>
      <c r="N112" s="4">
        <f>COUNTIF(C112:D112,"*")</f>
        <v>0</v>
      </c>
      <c r="O112" s="4">
        <f>IF(J112&gt;0,IF(ROUNDUP(M112/Weights!$D$96,0)&gt;1,1,0),0)</f>
        <v>0</v>
      </c>
      <c r="P112" s="4">
        <f>IF(L112&gt;0,ROUNDUP(M112/Weights!$D$97,0),0)</f>
        <v>3</v>
      </c>
    </row>
    <row r="113" spans="1:16">
      <c r="A113" s="6" t="str">
        <f>CONCATENATE(B113,F113)</f>
        <v>ECON7331S2</v>
      </c>
      <c r="B113" s="47" t="s">
        <v>150</v>
      </c>
      <c r="C113" s="47"/>
      <c r="D113" s="47"/>
      <c r="E113" s="47" t="s">
        <v>97</v>
      </c>
      <c r="F113" s="71" t="s">
        <v>254</v>
      </c>
      <c r="I113" s="71">
        <v>13</v>
      </c>
      <c r="J113" s="71">
        <v>2</v>
      </c>
      <c r="K113" s="71">
        <v>12</v>
      </c>
      <c r="L113" s="71">
        <v>1.5</v>
      </c>
      <c r="M113" s="71">
        <v>8</v>
      </c>
      <c r="N113" s="4">
        <f>COUNTIF(C113:D113,"*")</f>
        <v>0</v>
      </c>
      <c r="O113" s="4">
        <f>IF(J113&gt;0,IF(ROUNDUP(M113/Weights!$D$96,0)&gt;1,1,0),0)</f>
        <v>0</v>
      </c>
      <c r="P113" s="4">
        <f>IF(L113&gt;0,ROUNDUP(M113/Weights!$D$97,0),0)</f>
        <v>1</v>
      </c>
    </row>
    <row r="114" spans="1:16">
      <c r="A114" s="6" t="str">
        <f>CONCATENATE(B114,F114)</f>
        <v>ECON7333S2</v>
      </c>
      <c r="B114" s="47" t="s">
        <v>237</v>
      </c>
      <c r="C114" s="47"/>
      <c r="D114" s="47"/>
      <c r="E114" s="47" t="s">
        <v>281</v>
      </c>
      <c r="F114" s="71" t="s">
        <v>254</v>
      </c>
      <c r="I114" s="71">
        <v>13</v>
      </c>
      <c r="J114" s="71">
        <v>2</v>
      </c>
      <c r="K114" s="71">
        <v>12</v>
      </c>
      <c r="L114" s="71">
        <v>2</v>
      </c>
      <c r="M114" s="71">
        <v>118</v>
      </c>
      <c r="N114" s="4">
        <f>COUNTIF(C114:D114,"*")</f>
        <v>0</v>
      </c>
      <c r="O114" s="4">
        <f>IF(J114&gt;0,IF(ROUNDUP(M114/Weights!$D$96,0)&gt;1,1,0),0)</f>
        <v>0</v>
      </c>
      <c r="P114" s="4">
        <f>IF(L114&gt;0,ROUNDUP(M114/Weights!$D$97,0),0)</f>
        <v>3</v>
      </c>
    </row>
    <row r="115" spans="1:16">
      <c r="A115" s="6" t="str">
        <f>CONCATENATE(B115,F115)</f>
        <v>ECON7341S1</v>
      </c>
      <c r="B115" s="47" t="s">
        <v>170</v>
      </c>
      <c r="C115" s="47"/>
      <c r="D115" s="47"/>
      <c r="E115" s="47" t="s">
        <v>544</v>
      </c>
      <c r="F115" s="71" t="s">
        <v>253</v>
      </c>
      <c r="I115" s="71">
        <v>13</v>
      </c>
      <c r="J115" s="71">
        <v>2</v>
      </c>
      <c r="K115" s="71">
        <v>13</v>
      </c>
      <c r="L115" s="71">
        <v>2</v>
      </c>
      <c r="M115" s="71">
        <v>16</v>
      </c>
      <c r="N115" s="4">
        <f>COUNTIF(C115:D115,"*")</f>
        <v>0</v>
      </c>
      <c r="O115" s="4">
        <f>IF(J115&gt;0,IF(ROUNDUP(M115/Weights!$D$96,0)&gt;1,1,0),0)</f>
        <v>0</v>
      </c>
      <c r="P115" s="4">
        <f>IF(L115&gt;0,ROUNDUP(M115/Weights!$D$97,0),0)</f>
        <v>1</v>
      </c>
    </row>
    <row r="116" spans="1:16">
      <c r="A116" s="6" t="str">
        <f>CONCATENATE(B116,F116)</f>
        <v>ECON7350S1</v>
      </c>
      <c r="B116" s="47" t="s">
        <v>219</v>
      </c>
      <c r="C116" s="47"/>
      <c r="D116" s="47"/>
      <c r="E116" s="47" t="s">
        <v>284</v>
      </c>
      <c r="F116" s="71" t="s">
        <v>253</v>
      </c>
      <c r="I116" s="71">
        <v>13</v>
      </c>
      <c r="J116" s="71">
        <v>2</v>
      </c>
      <c r="K116" s="71">
        <v>13</v>
      </c>
      <c r="L116" s="71">
        <v>2</v>
      </c>
      <c r="M116" s="71">
        <v>67</v>
      </c>
      <c r="N116" s="4">
        <f>COUNTIF(C116:D116,"*")</f>
        <v>0</v>
      </c>
      <c r="O116" s="4">
        <f>IF(J116&gt;0,IF(ROUNDUP(M116/Weights!$D$96,0)&gt;1,1,0),0)</f>
        <v>0</v>
      </c>
      <c r="P116" s="4">
        <f>IF(L116&gt;0,ROUNDUP(M116/Weights!$D$97,0),0)</f>
        <v>2</v>
      </c>
    </row>
    <row r="117" spans="1:16">
      <c r="A117" s="6" t="str">
        <f>CONCATENATE(B117,F117)</f>
        <v>ECON7360S2</v>
      </c>
      <c r="B117" s="47" t="s">
        <v>26</v>
      </c>
      <c r="C117" s="47"/>
      <c r="D117" s="47"/>
      <c r="E117" s="47" t="s">
        <v>175</v>
      </c>
      <c r="F117" s="71" t="s">
        <v>254</v>
      </c>
      <c r="I117" s="71">
        <v>13</v>
      </c>
      <c r="J117" s="71">
        <v>2</v>
      </c>
      <c r="K117" s="71">
        <v>12</v>
      </c>
      <c r="L117" s="71">
        <v>2</v>
      </c>
      <c r="M117" s="71">
        <v>73</v>
      </c>
      <c r="N117" s="4">
        <f>COUNTIF(C117:D117,"*")</f>
        <v>0</v>
      </c>
      <c r="O117" s="4">
        <f>IF(J117&gt;0,IF(ROUNDUP(M117/Weights!$D$96,0)&gt;1,1,0),0)</f>
        <v>0</v>
      </c>
      <c r="P117" s="4">
        <f>IF(L117&gt;0,ROUNDUP(M117/Weights!$D$97,0),0)</f>
        <v>2</v>
      </c>
    </row>
    <row r="118" spans="1:16">
      <c r="A118" s="6" t="str">
        <f>CONCATENATE(B118,F118)</f>
        <v>ECON7430S1</v>
      </c>
      <c r="B118" s="47" t="s">
        <v>88</v>
      </c>
      <c r="C118" s="47"/>
      <c r="D118" s="47"/>
      <c r="E118" s="47" t="s">
        <v>285</v>
      </c>
      <c r="F118" s="71" t="s">
        <v>253</v>
      </c>
      <c r="I118" s="71">
        <v>13</v>
      </c>
      <c r="J118" s="71">
        <v>2</v>
      </c>
      <c r="K118" s="71">
        <v>12</v>
      </c>
      <c r="L118" s="71">
        <v>1</v>
      </c>
      <c r="M118" s="71">
        <v>30</v>
      </c>
      <c r="N118" s="4">
        <f>COUNTIF(C118:D118,"*")</f>
        <v>0</v>
      </c>
      <c r="O118" s="4">
        <f>IF(J118&gt;0,IF(ROUNDUP(M118/Weights!$D$96,0)&gt;1,1,0),0)</f>
        <v>0</v>
      </c>
      <c r="P118" s="4">
        <f>IF(L118&gt;0,ROUNDUP(M118/Weights!$D$97,0),0)</f>
        <v>1</v>
      </c>
    </row>
    <row r="119" spans="1:16">
      <c r="A119" s="6" t="str">
        <f>CONCATENATE(B119,F119)</f>
        <v>ECON7440S2</v>
      </c>
      <c r="B119" s="47" t="s">
        <v>116</v>
      </c>
      <c r="C119" s="47"/>
      <c r="D119" s="47"/>
      <c r="E119" s="47" t="s">
        <v>552</v>
      </c>
      <c r="F119" s="71" t="s">
        <v>254</v>
      </c>
      <c r="I119" s="71">
        <v>13</v>
      </c>
      <c r="J119" s="71">
        <v>2</v>
      </c>
      <c r="K119" s="71">
        <v>12</v>
      </c>
      <c r="L119" s="71">
        <v>1</v>
      </c>
      <c r="M119" s="71">
        <v>26</v>
      </c>
      <c r="N119" s="4">
        <f>COUNTIF(C119:D119,"*")</f>
        <v>0</v>
      </c>
      <c r="O119" s="4">
        <f>IF(J119&gt;0,IF(ROUNDUP(M119/Weights!$D$96,0)&gt;1,1,0),0)</f>
        <v>0</v>
      </c>
      <c r="P119" s="4">
        <f>IF(L119&gt;0,ROUNDUP(M119/Weights!$D$97,0),0)</f>
        <v>1</v>
      </c>
    </row>
    <row r="120" spans="1:16">
      <c r="A120" s="6" t="str">
        <f>CONCATENATE(B120,F120)</f>
        <v>ECON7460S2</v>
      </c>
      <c r="B120" s="47" t="s">
        <v>78</v>
      </c>
      <c r="C120" s="47"/>
      <c r="D120" s="47"/>
      <c r="E120" s="47" t="s">
        <v>66</v>
      </c>
      <c r="F120" s="71" t="s">
        <v>254</v>
      </c>
      <c r="I120" s="71">
        <v>13</v>
      </c>
      <c r="J120" s="71">
        <v>2</v>
      </c>
      <c r="K120" s="71">
        <v>12</v>
      </c>
      <c r="L120" s="71">
        <v>1</v>
      </c>
      <c r="M120" s="71">
        <v>30</v>
      </c>
      <c r="N120" s="4">
        <f>COUNTIF(C120:D120,"*")</f>
        <v>0</v>
      </c>
      <c r="O120" s="4">
        <f>IF(J120&gt;0,IF(ROUNDUP(M120/Weights!$D$96,0)&gt;1,1,0),0)</f>
        <v>0</v>
      </c>
      <c r="P120" s="4">
        <f>IF(L120&gt;0,ROUNDUP(M120/Weights!$D$97,0),0)</f>
        <v>1</v>
      </c>
    </row>
    <row r="121" spans="1:16">
      <c r="A121" s="6" t="str">
        <f>CONCATENATE(B121,F121)</f>
        <v>ECON7520S1</v>
      </c>
      <c r="B121" s="47" t="s">
        <v>45</v>
      </c>
      <c r="C121" s="47"/>
      <c r="D121" s="47"/>
      <c r="E121" s="47" t="s">
        <v>188</v>
      </c>
      <c r="F121" s="71" t="s">
        <v>253</v>
      </c>
      <c r="I121" s="71">
        <v>13</v>
      </c>
      <c r="J121" s="71">
        <v>2</v>
      </c>
      <c r="K121" s="71">
        <v>12</v>
      </c>
      <c r="L121" s="71">
        <v>1</v>
      </c>
      <c r="M121" s="71">
        <v>226</v>
      </c>
      <c r="N121" s="4">
        <f>COUNTIF(C121:D121,"*")</f>
        <v>0</v>
      </c>
      <c r="O121" s="4">
        <f>IF(J121&gt;0,IF(ROUNDUP(M121/Weights!$D$96,0)&gt;1,1,0),0)</f>
        <v>0</v>
      </c>
      <c r="P121" s="4">
        <f>IF(L121&gt;0,ROUNDUP(M121/Weights!$D$97,0),0)</f>
        <v>6</v>
      </c>
    </row>
    <row r="122" spans="1:16">
      <c r="A122" s="6" t="str">
        <f>CONCATENATE(B122,F122)</f>
        <v>ECON7520S2</v>
      </c>
      <c r="B122" s="47" t="s">
        <v>45</v>
      </c>
      <c r="C122" s="47"/>
      <c r="D122" s="47"/>
      <c r="E122" s="47" t="s">
        <v>188</v>
      </c>
      <c r="F122" s="71" t="s">
        <v>254</v>
      </c>
      <c r="I122" s="71">
        <v>13</v>
      </c>
      <c r="J122" s="71">
        <v>2</v>
      </c>
      <c r="K122" s="71">
        <v>12</v>
      </c>
      <c r="L122" s="71">
        <v>1</v>
      </c>
      <c r="M122" s="71">
        <v>192</v>
      </c>
      <c r="N122" s="4">
        <f>COUNTIF(C122:D122,"*")</f>
        <v>0</v>
      </c>
      <c r="O122" s="4">
        <f>IF(J122&gt;0,IF(ROUNDUP(M122/Weights!$D$96,0)&gt;1,1,0),0)</f>
        <v>0</v>
      </c>
      <c r="P122" s="4">
        <f>IF(L122&gt;0,ROUNDUP(M122/Weights!$D$97,0),0)</f>
        <v>5</v>
      </c>
    </row>
    <row r="123" spans="1:16">
      <c r="A123" s="6" t="str">
        <f>CONCATENATE(B123,F123)</f>
        <v>ECON7530S2</v>
      </c>
      <c r="B123" s="47" t="s">
        <v>100</v>
      </c>
      <c r="C123" s="47"/>
      <c r="D123" s="47"/>
      <c r="E123" s="47" t="s">
        <v>189</v>
      </c>
      <c r="F123" s="71" t="s">
        <v>254</v>
      </c>
      <c r="G123" s="71" t="s">
        <v>252</v>
      </c>
      <c r="I123" s="71">
        <v>13</v>
      </c>
      <c r="J123" s="71">
        <v>2</v>
      </c>
      <c r="K123" s="71">
        <v>12</v>
      </c>
      <c r="L123" s="71">
        <v>1.5</v>
      </c>
      <c r="M123" s="71">
        <v>337</v>
      </c>
      <c r="N123" s="4">
        <f>COUNTIF(C123:D123,"*")</f>
        <v>0</v>
      </c>
      <c r="O123" s="4">
        <f>IF(J123&gt;0,IF(ROUNDUP(M123/Weights!$D$96,0)&gt;1,1,0),0)</f>
        <v>0</v>
      </c>
      <c r="P123" s="4">
        <f>IF(L123&gt;0,ROUNDUP(M123/Weights!$D$97,0),0)</f>
        <v>9</v>
      </c>
    </row>
    <row r="124" spans="1:16">
      <c r="A124" s="6" t="str">
        <f>CONCATENATE(B124,F124)</f>
        <v>ECON7530S3</v>
      </c>
      <c r="B124" s="118" t="s">
        <v>100</v>
      </c>
      <c r="E124" s="118" t="s">
        <v>189</v>
      </c>
      <c r="F124" s="71" t="s">
        <v>255</v>
      </c>
      <c r="I124" s="71">
        <v>8</v>
      </c>
      <c r="J124" s="71">
        <v>4</v>
      </c>
      <c r="K124" s="71">
        <v>12</v>
      </c>
      <c r="L124" s="71">
        <v>3</v>
      </c>
      <c r="M124" s="71">
        <v>93</v>
      </c>
      <c r="N124" s="4">
        <f>COUNTIF(C124:D124,"*")</f>
        <v>0</v>
      </c>
      <c r="O124" s="4">
        <f>IF(J124&gt;0,IF(ROUNDUP(M124/Weights!$D$96,0)&gt;1,1,0),0)</f>
        <v>0</v>
      </c>
      <c r="P124" s="4">
        <f>IF(L124&gt;0,ROUNDUP(M124/Weights!$D$97,0),0)</f>
        <v>3</v>
      </c>
    </row>
    <row r="125" spans="1:16">
      <c r="A125" s="6" t="str">
        <f>CONCATENATE(B125,F125)</f>
        <v>ECON7540S2</v>
      </c>
      <c r="B125" s="47" t="s">
        <v>81</v>
      </c>
      <c r="C125" s="47"/>
      <c r="D125" s="47"/>
      <c r="E125" s="47" t="s">
        <v>283</v>
      </c>
      <c r="F125" s="71" t="s">
        <v>254</v>
      </c>
      <c r="I125" s="71">
        <v>13</v>
      </c>
      <c r="J125" s="71">
        <v>2</v>
      </c>
      <c r="K125" s="71">
        <v>12</v>
      </c>
      <c r="L125" s="71">
        <v>1</v>
      </c>
      <c r="M125" s="71">
        <v>46</v>
      </c>
      <c r="N125" s="4">
        <f>COUNTIF(C125:D125,"*")</f>
        <v>0</v>
      </c>
      <c r="O125" s="4">
        <f>IF(J125&gt;0,IF(ROUNDUP(M125/Weights!$D$96,0)&gt;1,1,0),0)</f>
        <v>0</v>
      </c>
      <c r="P125" s="4">
        <f>IF(L125&gt;0,ROUNDUP(M125/Weights!$D$97,0),0)</f>
        <v>2</v>
      </c>
    </row>
    <row r="126" spans="1:16">
      <c r="A126" s="6" t="str">
        <f>CONCATENATE(B126,F126)</f>
        <v>ECON7560S1</v>
      </c>
      <c r="B126" s="47" t="s">
        <v>80</v>
      </c>
      <c r="C126" s="47"/>
      <c r="D126" s="47"/>
      <c r="E126" s="47" t="s">
        <v>223</v>
      </c>
      <c r="F126" s="71" t="s">
        <v>253</v>
      </c>
      <c r="I126" s="71">
        <v>13</v>
      </c>
      <c r="J126" s="71">
        <v>2</v>
      </c>
      <c r="K126" s="71">
        <v>12</v>
      </c>
      <c r="L126" s="71">
        <v>1</v>
      </c>
      <c r="M126" s="71">
        <v>55</v>
      </c>
      <c r="N126" s="4">
        <f>COUNTIF(C126:D126,"*")</f>
        <v>0</v>
      </c>
      <c r="O126" s="4">
        <f>IF(J126&gt;0,IF(ROUNDUP(M126/Weights!$D$96,0)&gt;1,1,0),0)</f>
        <v>0</v>
      </c>
      <c r="P126" s="4">
        <f>IF(L126&gt;0,ROUNDUP(M126/Weights!$D$97,0),0)</f>
        <v>2</v>
      </c>
    </row>
    <row r="127" spans="1:16">
      <c r="A127" s="6" t="str">
        <f>CONCATENATE(B127,F127)</f>
        <v>ECON7740S2</v>
      </c>
      <c r="B127" s="47" t="s">
        <v>74</v>
      </c>
      <c r="C127" s="47"/>
      <c r="D127" s="47"/>
      <c r="E127" s="47" t="s">
        <v>33</v>
      </c>
      <c r="F127" s="71" t="s">
        <v>254</v>
      </c>
      <c r="I127" s="71">
        <v>13</v>
      </c>
      <c r="J127" s="71">
        <v>2</v>
      </c>
      <c r="K127" s="71">
        <v>12</v>
      </c>
      <c r="L127" s="71">
        <v>1</v>
      </c>
      <c r="M127" s="71">
        <v>79</v>
      </c>
      <c r="N127" s="4">
        <f>COUNTIF(C127:D127,"*")</f>
        <v>0</v>
      </c>
      <c r="O127" s="4">
        <f>IF(J127&gt;0,IF(ROUNDUP(M127/Weights!$D$96,0)&gt;1,1,0),0)</f>
        <v>0</v>
      </c>
      <c r="P127" s="4">
        <f>IF(L127&gt;0,ROUNDUP(M127/Weights!$D$97,0),0)</f>
        <v>2</v>
      </c>
    </row>
    <row r="128" spans="1:16">
      <c r="A128" s="6" t="str">
        <f>CONCATENATE(B128,F128)</f>
        <v>ECON7760S2</v>
      </c>
      <c r="B128" s="47" t="s">
        <v>159</v>
      </c>
      <c r="C128" s="47"/>
      <c r="D128" s="47"/>
      <c r="E128" s="47" t="s">
        <v>190</v>
      </c>
      <c r="F128" s="71" t="s">
        <v>254</v>
      </c>
      <c r="I128" s="71">
        <v>13</v>
      </c>
      <c r="J128" s="71">
        <v>2</v>
      </c>
      <c r="K128" s="71">
        <v>12</v>
      </c>
      <c r="L128" s="71">
        <v>1</v>
      </c>
      <c r="M128" s="71">
        <v>67</v>
      </c>
      <c r="N128" s="4">
        <f>COUNTIF(C128:D128,"*")</f>
        <v>0</v>
      </c>
      <c r="O128" s="4">
        <f>IF(J128&gt;0,IF(ROUNDUP(M128/Weights!$D$96,0)&gt;1,1,0),0)</f>
        <v>0</v>
      </c>
      <c r="P128" s="4">
        <f>IF(L128&gt;0,ROUNDUP(M128/Weights!$D$97,0),0)</f>
        <v>2</v>
      </c>
    </row>
    <row r="129" spans="1:16">
      <c r="A129" s="6" t="str">
        <f>CONCATENATE(B129,F129)</f>
        <v>ECON7810S2</v>
      </c>
      <c r="B129" s="47" t="s">
        <v>77</v>
      </c>
      <c r="C129" s="47"/>
      <c r="D129" s="47"/>
      <c r="E129" s="47" t="s">
        <v>245</v>
      </c>
      <c r="F129" s="71" t="s">
        <v>254</v>
      </c>
      <c r="I129" s="71">
        <v>13</v>
      </c>
      <c r="J129" s="71">
        <v>2</v>
      </c>
      <c r="K129" s="71">
        <v>12</v>
      </c>
      <c r="L129" s="71">
        <v>1</v>
      </c>
      <c r="M129" s="71">
        <v>16</v>
      </c>
      <c r="N129" s="4">
        <f>COUNTIF(C129:D129,"*")</f>
        <v>0</v>
      </c>
      <c r="O129" s="4">
        <f>IF(J129&gt;0,IF(ROUNDUP(M129/Weights!$D$96,0)&gt;1,1,0),0)</f>
        <v>0</v>
      </c>
      <c r="P129" s="4">
        <f>IF(L129&gt;0,ROUNDUP(M129/Weights!$D$97,0),0)</f>
        <v>1</v>
      </c>
    </row>
    <row r="130" spans="1:16">
      <c r="A130" s="6" t="str">
        <f>CONCATENATE(B130,F130)</f>
        <v>ECON7820S2</v>
      </c>
      <c r="B130" s="47" t="s">
        <v>240</v>
      </c>
      <c r="C130" s="47"/>
      <c r="D130" s="47"/>
      <c r="E130" s="47" t="s">
        <v>241</v>
      </c>
      <c r="F130" s="71" t="s">
        <v>254</v>
      </c>
      <c r="I130" s="71">
        <v>10</v>
      </c>
      <c r="J130" s="71">
        <v>2</v>
      </c>
      <c r="K130" s="71">
        <v>12</v>
      </c>
      <c r="L130" s="71">
        <v>1</v>
      </c>
      <c r="M130" s="71">
        <v>147</v>
      </c>
      <c r="N130" s="4">
        <f>COUNTIF(C130:D130,"*")</f>
        <v>0</v>
      </c>
      <c r="O130" s="4">
        <f>IF(J130&gt;0,IF(ROUNDUP(M130/Weights!$D$96,0)&gt;1,1,0),0)</f>
        <v>0</v>
      </c>
      <c r="P130" s="4">
        <f>IF(L130&gt;0,ROUNDUP(M130/Weights!$D$97,0),0)</f>
        <v>4</v>
      </c>
    </row>
    <row r="131" spans="1:16">
      <c r="A131" s="6" t="str">
        <f>CONCATENATE(B131,F131)</f>
        <v>ECON7830S2</v>
      </c>
      <c r="B131" s="47" t="s">
        <v>48</v>
      </c>
      <c r="C131" s="47"/>
      <c r="D131" s="47"/>
      <c r="E131" s="47" t="s">
        <v>49</v>
      </c>
      <c r="F131" s="71" t="s">
        <v>254</v>
      </c>
      <c r="I131" s="71">
        <v>13</v>
      </c>
      <c r="J131" s="71">
        <v>2</v>
      </c>
      <c r="K131" s="71">
        <v>12</v>
      </c>
      <c r="L131" s="71">
        <v>1</v>
      </c>
      <c r="M131" s="71">
        <v>17</v>
      </c>
      <c r="N131" s="4">
        <f>COUNTIF(C131:D131,"*")</f>
        <v>0</v>
      </c>
      <c r="O131" s="4">
        <f>IF(J131&gt;0,IF(ROUNDUP(M131/Weights!$D$96,0)&gt;1,1,0),0)</f>
        <v>0</v>
      </c>
      <c r="P131" s="4">
        <f>IF(L131&gt;0,ROUNDUP(M131/Weights!$D$97,0),0)</f>
        <v>1</v>
      </c>
    </row>
    <row r="132" spans="1:16" s="49" customFormat="1">
      <c r="A132" s="6" t="str">
        <f>CONCATENATE(B132,F132)</f>
        <v>ECON7930S1</v>
      </c>
      <c r="B132" s="47" t="s">
        <v>157</v>
      </c>
      <c r="C132" s="47" t="s">
        <v>224</v>
      </c>
      <c r="D132" s="47" t="s">
        <v>225</v>
      </c>
      <c r="E132" s="47" t="s">
        <v>98</v>
      </c>
      <c r="F132" s="71" t="s">
        <v>253</v>
      </c>
      <c r="G132" s="71"/>
      <c r="H132" s="71"/>
      <c r="I132" s="71"/>
      <c r="J132" s="71"/>
      <c r="K132" s="71">
        <v>1</v>
      </c>
      <c r="L132" s="71">
        <v>2</v>
      </c>
      <c r="M132" s="71">
        <f>10+8+4</f>
        <v>22</v>
      </c>
      <c r="N132" s="4">
        <f>COUNTIF(C132:D132,"*")</f>
        <v>2</v>
      </c>
      <c r="O132" s="4">
        <f>IF(J132&gt;0,IF(ROUNDUP(M132/Weights!$D$96,0)&gt;1,1,0),0)</f>
        <v>0</v>
      </c>
      <c r="P132" s="4">
        <f>IF(L132&gt;0,ROUNDUP(M132/Weights!$D$97,0),0)</f>
        <v>1</v>
      </c>
    </row>
    <row r="133" spans="1:16">
      <c r="A133" s="6" t="str">
        <f>CONCATENATE(B133,F133)</f>
        <v>ECON7930S2</v>
      </c>
      <c r="B133" s="47" t="s">
        <v>157</v>
      </c>
      <c r="C133" s="47" t="s">
        <v>224</v>
      </c>
      <c r="D133" s="47" t="s">
        <v>225</v>
      </c>
      <c r="E133" s="47" t="s">
        <v>98</v>
      </c>
      <c r="F133" s="71" t="s">
        <v>254</v>
      </c>
      <c r="K133" s="71">
        <v>1</v>
      </c>
      <c r="L133" s="71">
        <v>2</v>
      </c>
      <c r="M133" s="71">
        <f>15+7+7</f>
        <v>29</v>
      </c>
      <c r="N133" s="4">
        <f>COUNTIF(C133:D133,"*")</f>
        <v>2</v>
      </c>
      <c r="O133" s="4">
        <f>IF(J133&gt;0,IF(ROUNDUP(M133/Weights!$D$96,0)&gt;1,1,0),0)</f>
        <v>0</v>
      </c>
      <c r="P133" s="4">
        <f>IF(L133&gt;0,ROUNDUP(M133/Weights!$D$97,0),0)</f>
        <v>1</v>
      </c>
    </row>
    <row r="134" spans="1:16">
      <c r="A134" s="6" t="str">
        <f>CONCATENATE(B134,F134)</f>
        <v>ECON7930S3</v>
      </c>
      <c r="B134" s="47" t="s">
        <v>157</v>
      </c>
      <c r="C134" s="47"/>
      <c r="D134" s="47"/>
      <c r="E134" s="47" t="s">
        <v>98</v>
      </c>
      <c r="F134" s="71" t="s">
        <v>255</v>
      </c>
      <c r="K134" s="71">
        <v>1</v>
      </c>
      <c r="L134" s="71">
        <v>1.5</v>
      </c>
      <c r="M134" s="71">
        <v>1</v>
      </c>
      <c r="N134" s="48">
        <f>COUNTIF(C134:D134,"*")</f>
        <v>0</v>
      </c>
      <c r="O134" s="48">
        <f>IF(J134&gt;0,IF(ROUNDUP(M134/Weights!$D$96,0)&gt;1,1,0),0)</f>
        <v>0</v>
      </c>
      <c r="P134" s="48">
        <f>IF(L134&gt;0,ROUNDUP(M134/Weights!$D$97,0),0)</f>
        <v>1</v>
      </c>
    </row>
    <row r="135" spans="1:16">
      <c r="A135" s="6" t="str">
        <f>CONCATENATE(B135,F135)</f>
        <v>ECON7940S1</v>
      </c>
      <c r="B135" s="47" t="s">
        <v>158</v>
      </c>
      <c r="C135" s="47" t="s">
        <v>226</v>
      </c>
      <c r="D135" s="47" t="s">
        <v>227</v>
      </c>
      <c r="E135" s="47" t="s">
        <v>99</v>
      </c>
      <c r="F135" s="71" t="s">
        <v>253</v>
      </c>
      <c r="K135" s="71">
        <v>1</v>
      </c>
      <c r="L135" s="71">
        <v>2</v>
      </c>
      <c r="M135" s="71">
        <f>1+0+0</f>
        <v>1</v>
      </c>
      <c r="N135" s="4">
        <f>COUNTIF(C135:D135,"*")</f>
        <v>2</v>
      </c>
      <c r="O135" s="4">
        <f>IF(J135&gt;0,IF(ROUNDUP(M135/Weights!$D$96,0)&gt;1,1,0),0)</f>
        <v>0</v>
      </c>
      <c r="P135" s="4">
        <f>IF(L135&gt;0,ROUNDUP(M135/Weights!$D$97,0),0)</f>
        <v>1</v>
      </c>
    </row>
    <row r="136" spans="1:16">
      <c r="A136" s="6" t="str">
        <f>CONCATENATE(B136,F136)</f>
        <v>ECON7940S2</v>
      </c>
      <c r="B136" s="47" t="s">
        <v>158</v>
      </c>
      <c r="C136" s="47" t="s">
        <v>226</v>
      </c>
      <c r="D136" s="47" t="s">
        <v>227</v>
      </c>
      <c r="E136" s="47" t="s">
        <v>99</v>
      </c>
      <c r="F136" s="71" t="s">
        <v>254</v>
      </c>
      <c r="K136" s="71">
        <v>1</v>
      </c>
      <c r="L136" s="71">
        <v>2</v>
      </c>
      <c r="M136" s="71">
        <f>2+0+0</f>
        <v>2</v>
      </c>
      <c r="N136" s="4">
        <f>COUNTIF(C136:D136,"*")</f>
        <v>2</v>
      </c>
      <c r="O136" s="4">
        <f>IF(J136&gt;0,IF(ROUNDUP(M136/Weights!$D$96,0)&gt;1,1,0),0)</f>
        <v>0</v>
      </c>
      <c r="P136" s="4">
        <f>IF(L136&gt;0,ROUNDUP(M136/Weights!$D$97,0),0)</f>
        <v>1</v>
      </c>
    </row>
    <row r="137" spans="1:16">
      <c r="A137" s="6" t="str">
        <f>CONCATENATE(B137,F137)</f>
        <v>ECON7950S1</v>
      </c>
      <c r="B137" s="47" t="s">
        <v>146</v>
      </c>
      <c r="C137" s="47"/>
      <c r="D137" s="47"/>
      <c r="E137" s="47" t="s">
        <v>191</v>
      </c>
      <c r="F137" s="71" t="s">
        <v>253</v>
      </c>
      <c r="I137" s="71">
        <v>13</v>
      </c>
      <c r="J137" s="71">
        <v>2</v>
      </c>
      <c r="M137" s="71">
        <v>202</v>
      </c>
      <c r="N137" s="4">
        <f>COUNTIF(C137:D137,"*")</f>
        <v>0</v>
      </c>
      <c r="O137" s="4">
        <f>IF(J137&gt;0,IF(ROUNDUP(M137/Weights!$D$96,0)&gt;1,1,0),0)</f>
        <v>0</v>
      </c>
      <c r="P137" s="4">
        <f>IF(L137&gt;0,ROUNDUP(M137/Weights!$D$97,0),0)</f>
        <v>0</v>
      </c>
    </row>
    <row r="138" spans="1:16">
      <c r="A138" s="6" t="str">
        <f>CONCATENATE(B138,F138)</f>
        <v>ECON7950S2</v>
      </c>
      <c r="B138" s="47" t="s">
        <v>146</v>
      </c>
      <c r="C138" s="47"/>
      <c r="D138" s="47"/>
      <c r="E138" s="47" t="s">
        <v>191</v>
      </c>
      <c r="F138" s="71" t="s">
        <v>254</v>
      </c>
      <c r="I138" s="71">
        <v>13</v>
      </c>
      <c r="J138" s="71">
        <v>2</v>
      </c>
      <c r="M138" s="71">
        <v>244</v>
      </c>
      <c r="N138" s="4">
        <f>COUNTIF(C138:D138,"*")</f>
        <v>0</v>
      </c>
      <c r="O138" s="4">
        <f>IF(J138&gt;0,IF(ROUNDUP(M138/Weights!$D$96,0)&gt;1,1,0),0)</f>
        <v>0</v>
      </c>
      <c r="P138" s="4">
        <f>IF(L138&gt;0,ROUNDUP(M138/Weights!$D$97,0),0)</f>
        <v>0</v>
      </c>
    </row>
    <row r="139" spans="1:16">
      <c r="A139" s="6" t="str">
        <f>CONCATENATE(B139,F139)</f>
        <v>ECON8000S1</v>
      </c>
      <c r="B139" s="47" t="s">
        <v>152</v>
      </c>
      <c r="C139" s="47"/>
      <c r="D139" s="47"/>
      <c r="E139" s="47" t="s">
        <v>228</v>
      </c>
      <c r="F139" s="71" t="s">
        <v>253</v>
      </c>
      <c r="I139" s="71">
        <v>6</v>
      </c>
      <c r="J139" s="71">
        <v>3</v>
      </c>
      <c r="K139" s="71">
        <v>6</v>
      </c>
      <c r="L139" s="71">
        <v>1.5</v>
      </c>
      <c r="M139" s="71">
        <v>7</v>
      </c>
      <c r="N139" s="4">
        <f>COUNTIF(C139:D139,"*")</f>
        <v>0</v>
      </c>
      <c r="O139" s="4">
        <f>IF(J139&gt;0,IF(ROUNDUP(M139/Weights!$D$96,0)&gt;1,1,0),0)</f>
        <v>0</v>
      </c>
      <c r="P139" s="4">
        <f>IF(L139&gt;0,ROUNDUP(M139/Weights!$D$97,0),0)</f>
        <v>1</v>
      </c>
    </row>
    <row r="140" spans="1:16">
      <c r="A140" s="6" t="str">
        <f>CONCATENATE(B140,F140)</f>
        <v>ECON8800S1</v>
      </c>
      <c r="B140" s="47" t="s">
        <v>164</v>
      </c>
      <c r="C140" s="47"/>
      <c r="D140" s="47"/>
      <c r="E140" s="47" t="s">
        <v>192</v>
      </c>
      <c r="F140" s="71" t="s">
        <v>253</v>
      </c>
      <c r="I140" s="71">
        <v>13</v>
      </c>
      <c r="J140" s="71">
        <v>3</v>
      </c>
      <c r="M140" s="71">
        <v>6</v>
      </c>
      <c r="N140" s="4">
        <f>COUNTIF(C140:D140,"*")</f>
        <v>0</v>
      </c>
      <c r="O140" s="4">
        <f>IF(J140&gt;0,IF(ROUNDUP(M140/Weights!$D$96,0)&gt;1,1,0),0)</f>
        <v>0</v>
      </c>
      <c r="P140" s="4">
        <f>IF(L140&gt;0,ROUNDUP(M140/Weights!$D$97,0),0)</f>
        <v>0</v>
      </c>
    </row>
    <row r="141" spans="1:16">
      <c r="A141" s="6" t="str">
        <f>CONCATENATE(B141,F141)</f>
        <v>ECON8810S1</v>
      </c>
      <c r="B141" s="47" t="s">
        <v>148</v>
      </c>
      <c r="C141" s="47"/>
      <c r="D141" s="47"/>
      <c r="E141" s="47" t="s">
        <v>193</v>
      </c>
      <c r="F141" s="71" t="s">
        <v>253</v>
      </c>
      <c r="I141" s="71">
        <v>13</v>
      </c>
      <c r="J141" s="71">
        <v>2</v>
      </c>
      <c r="K141" s="71">
        <v>13</v>
      </c>
      <c r="L141" s="71">
        <v>1</v>
      </c>
      <c r="M141" s="71">
        <v>6</v>
      </c>
      <c r="N141" s="4">
        <f>COUNTIF(C141:D141,"*")</f>
        <v>0</v>
      </c>
      <c r="O141" s="4">
        <f>IF(J141&gt;0,IF(ROUNDUP(M141/Weights!$D$96,0)&gt;1,1,0),0)</f>
        <v>0</v>
      </c>
      <c r="P141" s="4">
        <f>IF(L141&gt;0,ROUNDUP(M141/Weights!$D$97,0),0)</f>
        <v>1</v>
      </c>
    </row>
    <row r="142" spans="1:16">
      <c r="A142" s="6" t="str">
        <f>CONCATENATE(B142,F142)</f>
        <v>ECON8820S1</v>
      </c>
      <c r="B142" s="47" t="s">
        <v>156</v>
      </c>
      <c r="C142" s="47"/>
      <c r="D142" s="47"/>
      <c r="E142" s="47" t="s">
        <v>194</v>
      </c>
      <c r="F142" s="71" t="s">
        <v>253</v>
      </c>
      <c r="I142" s="71">
        <v>13</v>
      </c>
      <c r="J142" s="71">
        <v>2</v>
      </c>
      <c r="K142" s="71">
        <v>13</v>
      </c>
      <c r="L142" s="71">
        <v>1</v>
      </c>
      <c r="M142" s="71">
        <v>6</v>
      </c>
      <c r="N142" s="4">
        <f>COUNTIF(C142:D142,"*")</f>
        <v>0</v>
      </c>
      <c r="O142" s="4">
        <f>IF(J142&gt;0,IF(ROUNDUP(M142/Weights!$D$96,0)&gt;1,1,0),0)</f>
        <v>0</v>
      </c>
      <c r="P142" s="4">
        <f>IF(L142&gt;0,ROUNDUP(M142/Weights!$D$97,0),0)</f>
        <v>1</v>
      </c>
    </row>
    <row r="143" spans="1:16">
      <c r="A143" s="6" t="str">
        <f>CONCATENATE(B143,F143)</f>
        <v>GDUFS 1020S1</v>
      </c>
      <c r="B143" s="47" t="s">
        <v>777</v>
      </c>
      <c r="C143" s="47"/>
      <c r="D143" s="47"/>
      <c r="E143" s="47" t="s">
        <v>778</v>
      </c>
      <c r="F143" s="71" t="s">
        <v>253</v>
      </c>
      <c r="I143" s="71">
        <v>3</v>
      </c>
      <c r="J143" s="71">
        <v>1</v>
      </c>
      <c r="M143" s="71">
        <v>10</v>
      </c>
      <c r="N143" s="4">
        <f>COUNTIF(C143:D143,"*")</f>
        <v>0</v>
      </c>
      <c r="O143" s="4">
        <f>IF(J143&gt;0,IF(ROUNDUP(M143/Weights!$D$96,0)&gt;1,1,0),0)</f>
        <v>0</v>
      </c>
      <c r="P143" s="4">
        <f>IF(L143&gt;0,ROUNDUP(M143/Weights!$D$97,0),0)</f>
        <v>0</v>
      </c>
    </row>
    <row r="144" spans="1:16">
      <c r="A144" s="6" t="str">
        <f>CONCATENATE(B144,F144)</f>
        <v>GDUFS 2010S3</v>
      </c>
      <c r="B144" s="47" t="s">
        <v>779</v>
      </c>
      <c r="C144" s="47"/>
      <c r="D144" s="47"/>
      <c r="E144" s="47" t="s">
        <v>780</v>
      </c>
      <c r="F144" s="71" t="s">
        <v>255</v>
      </c>
      <c r="I144" s="71">
        <v>3</v>
      </c>
      <c r="J144" s="71">
        <v>1</v>
      </c>
      <c r="M144" s="71">
        <v>10</v>
      </c>
      <c r="N144" s="4">
        <f>COUNTIF(C144:D144,"*")</f>
        <v>0</v>
      </c>
      <c r="O144" s="4">
        <f>IF(J144&gt;0,IF(ROUNDUP(M144/Weights!$D$96,0)&gt;1,1,0),0)</f>
        <v>0</v>
      </c>
      <c r="P144" s="4">
        <f>IF(L144&gt;0,ROUNDUP(M144/Weights!$D$97,0),0)</f>
        <v>0</v>
      </c>
    </row>
    <row r="145" spans="1:16">
      <c r="A145" s="6" t="str">
        <f>CONCATENATE(B145,F145)</f>
        <v>PPES3101S1</v>
      </c>
      <c r="B145" s="47" t="s">
        <v>229</v>
      </c>
      <c r="C145" s="47"/>
      <c r="D145" s="47"/>
      <c r="E145" s="47" t="s">
        <v>230</v>
      </c>
      <c r="F145" s="71" t="s">
        <v>253</v>
      </c>
      <c r="I145" s="71">
        <v>13</v>
      </c>
      <c r="J145" s="71">
        <v>2</v>
      </c>
      <c r="M145" s="71">
        <v>63</v>
      </c>
      <c r="N145" s="4">
        <f>COUNTIF(C145:D145,"*")</f>
        <v>0</v>
      </c>
      <c r="O145" s="4">
        <f>IF(J145&gt;0,IF(ROUNDUP(M145/Weights!$D$96,0)&gt;1,1,0),0)</f>
        <v>0</v>
      </c>
      <c r="P145" s="4">
        <f>IF(L145&gt;0,ROUNDUP(M145/Weights!$D$97,0),0)</f>
        <v>0</v>
      </c>
    </row>
    <row r="146" spans="1:16">
      <c r="A146" s="6" t="str">
        <f>CONCATENATE(B146,F146)</f>
        <v>PPES4101S1</v>
      </c>
      <c r="B146" s="47" t="s">
        <v>231</v>
      </c>
      <c r="C146" s="47"/>
      <c r="D146" s="47"/>
      <c r="E146" s="47" t="s">
        <v>232</v>
      </c>
      <c r="F146" s="71" t="s">
        <v>253</v>
      </c>
      <c r="I146" s="71">
        <v>6</v>
      </c>
      <c r="J146" s="71">
        <v>2</v>
      </c>
      <c r="M146" s="71">
        <v>37</v>
      </c>
      <c r="N146" s="4">
        <f>COUNTIF(C146:D146,"*")</f>
        <v>0</v>
      </c>
      <c r="O146" s="4">
        <f>IF(J146&gt;0,IF(ROUNDUP(M146/Weights!$D$96,0)&gt;1,1,0),0)</f>
        <v>0</v>
      </c>
      <c r="P146" s="4">
        <f>IF(L146&gt;0,ROUNDUP(M146/Weights!$D$97,0),0)</f>
        <v>0</v>
      </c>
    </row>
    <row r="147" spans="1:16">
      <c r="A147" s="6" t="str">
        <f>CONCATENATE(B147,F147)</f>
        <v>PPES4201S2</v>
      </c>
      <c r="B147" s="47" t="s">
        <v>246</v>
      </c>
      <c r="C147" s="47"/>
      <c r="D147" s="47"/>
      <c r="E147" s="47" t="s">
        <v>220</v>
      </c>
      <c r="F147" s="71" t="s">
        <v>254</v>
      </c>
      <c r="I147" s="71">
        <v>13</v>
      </c>
      <c r="J147" s="71">
        <v>2</v>
      </c>
      <c r="M147" s="71">
        <v>40</v>
      </c>
      <c r="N147" s="4">
        <f>COUNTIF(C147:D147,"*")</f>
        <v>0</v>
      </c>
      <c r="O147" s="4">
        <f>IF(J147&gt;0,IF(ROUNDUP(M147/Weights!$D$96,0)&gt;1,1,0),0)</f>
        <v>0</v>
      </c>
      <c r="P147" s="4">
        <f>IF(L147&gt;0,ROUNDUP(M147/Weights!$D$97,0),0)</f>
        <v>0</v>
      </c>
    </row>
    <row r="148" spans="1:16">
      <c r="A148" s="6" t="str">
        <f>CONCATENATE(B148,F148)</f>
        <v>PPES4202S2</v>
      </c>
      <c r="B148" s="47" t="s">
        <v>247</v>
      </c>
      <c r="C148" s="47"/>
      <c r="D148" s="47"/>
      <c r="E148" s="47" t="s">
        <v>248</v>
      </c>
      <c r="F148" s="71" t="s">
        <v>254</v>
      </c>
      <c r="I148" s="71">
        <v>13</v>
      </c>
      <c r="J148" s="71">
        <v>2</v>
      </c>
      <c r="M148" s="71">
        <v>10</v>
      </c>
      <c r="N148" s="4">
        <f>COUNTIF(C148:D148,"*")</f>
        <v>0</v>
      </c>
      <c r="O148" s="4">
        <f>IF(J148&gt;0,IF(ROUNDUP(M148/Weights!$D$96,0)&gt;1,1,0),0)</f>
        <v>0</v>
      </c>
      <c r="P148" s="4">
        <f>IF(L148&gt;0,ROUNDUP(M148/Weights!$D$97,0),0)</f>
        <v>0</v>
      </c>
    </row>
    <row r="149" spans="1:16">
      <c r="A149" s="6" t="str">
        <f>CONCATENATE(B149,F149)</f>
        <v>PPES4999S1</v>
      </c>
      <c r="B149" s="47" t="s">
        <v>249</v>
      </c>
      <c r="C149" s="47"/>
      <c r="D149" s="47"/>
      <c r="E149" s="47" t="s">
        <v>250</v>
      </c>
      <c r="F149" s="71" t="s">
        <v>253</v>
      </c>
      <c r="I149" s="71">
        <v>6</v>
      </c>
      <c r="J149" s="71">
        <v>4</v>
      </c>
      <c r="K149" s="71">
        <v>6</v>
      </c>
      <c r="L149" s="71">
        <v>1</v>
      </c>
      <c r="M149" s="71">
        <v>10</v>
      </c>
      <c r="N149" s="4">
        <f>COUNTIF(C149:D149,"*")</f>
        <v>0</v>
      </c>
      <c r="O149" s="4">
        <f>IF(J149&gt;0,IF(ROUNDUP(M149/Weights!$D$96,0)&gt;1,1,0),0)</f>
        <v>0</v>
      </c>
      <c r="P149" s="4">
        <f>IF(L149&gt;0,ROUNDUP(M149/Weights!$D$97,0),0)</f>
        <v>1</v>
      </c>
    </row>
    <row r="150" spans="1:16">
      <c r="A150" s="6" t="str">
        <f>CONCATENATE(B150,F150)</f>
        <v>PUBH1110S2</v>
      </c>
      <c r="B150" s="118" t="s">
        <v>522</v>
      </c>
      <c r="E150" s="118" t="s">
        <v>556</v>
      </c>
      <c r="F150" s="71" t="s">
        <v>254</v>
      </c>
      <c r="I150" s="71">
        <v>13</v>
      </c>
      <c r="J150" s="71">
        <v>2</v>
      </c>
      <c r="K150" s="71">
        <v>6</v>
      </c>
      <c r="L150" s="71">
        <v>2</v>
      </c>
      <c r="M150" s="71">
        <v>90</v>
      </c>
      <c r="N150" s="4">
        <f>COUNTIF(C150:D150,"*")</f>
        <v>0</v>
      </c>
      <c r="O150" s="4">
        <f>IF(J150&gt;0,IF(ROUNDUP(M150/Weights!$D$96,0)&gt;1,1,0),0)</f>
        <v>0</v>
      </c>
      <c r="P150" s="4">
        <f>IF(L150&gt;0,ROUNDUP(M150/Weights!$D$97,0),0)</f>
        <v>3</v>
      </c>
    </row>
    <row r="151" spans="1:16">
      <c r="A151" s="6" t="str">
        <f>CONCATENATE(B151,F151)</f>
        <v>QLD in JulyS2</v>
      </c>
      <c r="B151" s="47" t="s">
        <v>776</v>
      </c>
      <c r="C151" s="47"/>
      <c r="D151" s="47"/>
      <c r="E151" s="47" t="s">
        <v>573</v>
      </c>
      <c r="F151" s="71" t="s">
        <v>254</v>
      </c>
      <c r="I151" s="71">
        <v>3</v>
      </c>
      <c r="J151" s="71">
        <v>12</v>
      </c>
      <c r="M151" s="71">
        <v>30</v>
      </c>
      <c r="N151" s="4">
        <f>COUNTIF(C151:D151,"*")</f>
        <v>0</v>
      </c>
      <c r="O151" s="4">
        <f>IF(J151&gt;0,IF(ROUNDUP(M151/Weights!$D$96,0)&gt;1,1,0),0)</f>
        <v>0</v>
      </c>
      <c r="P151" s="4">
        <f>IF(L151&gt;0,ROUNDUP(M151/Weights!$D$97,0),0)</f>
        <v>0</v>
      </c>
    </row>
    <row r="165" spans="12:12">
      <c r="L165" s="118"/>
    </row>
  </sheetData>
  <sheetProtection algorithmName="SHA-512" hashValue="/WWoLVOT2oFVvzGn3CB93gFtcQ5nFboE0qJ2l3igtaAMKkawiqhEjlKzQVJrv2paHeJv4dBZhZTKzymKDJraKw==" saltValue="lURAEQg4kZ42KRvRtSHSHQ==" spinCount="100000" sheet="1" formatCells="0" formatColumns="0" formatRows="0" insertColumns="0" insertRows="0" insertHyperlinks="0" deleteColumns="0" deleteRows="0" sort="0" autoFilter="0"/>
  <autoFilter ref="A1:P151">
    <sortState ref="A2:P151">
      <sortCondition ref="A1:A151"/>
    </sortState>
  </autoFilter>
  <sortState ref="A2:P165">
    <sortCondition ref="F2:F165"/>
    <sortCondition ref="B2:B165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7.5" defaultRowHeight="15"/>
  <cols>
    <col min="1" max="1" width="14.625" style="13" bestFit="1" customWidth="1"/>
    <col min="2" max="2" width="27.875" style="89" customWidth="1"/>
    <col min="3" max="3" width="9.125" style="70" customWidth="1"/>
    <col min="4" max="4" width="9.875" style="80" bestFit="1" customWidth="1"/>
    <col min="5" max="6" width="10.125" style="13" customWidth="1"/>
    <col min="7" max="7" width="37.875" style="13" customWidth="1"/>
    <col min="8" max="8" width="8.625" style="70" customWidth="1"/>
    <col min="9" max="12" width="10.875" style="70" customWidth="1"/>
    <col min="13" max="13" width="10.875" style="89" customWidth="1"/>
    <col min="14" max="15" width="10.875" style="70" customWidth="1"/>
    <col min="16" max="17" width="12.375" style="12" customWidth="1"/>
    <col min="18" max="23" width="12.375" style="10" customWidth="1"/>
    <col min="24" max="24" width="14.125" style="10" customWidth="1"/>
    <col min="25" max="25" width="12.375" style="10" customWidth="1"/>
    <col min="26" max="26" width="17.5" style="12" customWidth="1"/>
    <col min="27" max="27" width="12.375" style="12" customWidth="1"/>
    <col min="28" max="28" width="12.375" style="10" customWidth="1"/>
    <col min="29" max="29" width="8.5" style="15" hidden="1" customWidth="1"/>
    <col min="30" max="30" width="10.875" style="14" hidden="1" customWidth="1"/>
    <col min="31" max="33" width="8.5" style="14" hidden="1" customWidth="1"/>
    <col min="34" max="37" width="8.5" style="15" hidden="1" customWidth="1"/>
    <col min="38" max="38" width="8.125" style="15" hidden="1" customWidth="1"/>
    <col min="39" max="16384" width="7.5" style="98"/>
  </cols>
  <sheetData>
    <row r="1" spans="1:38" s="2" customFormat="1" ht="56.1" customHeight="1">
      <c r="A1" s="3" t="s">
        <v>309</v>
      </c>
      <c r="B1" s="1" t="s">
        <v>259</v>
      </c>
      <c r="C1" s="1" t="s">
        <v>546</v>
      </c>
      <c r="D1" s="1" t="s">
        <v>205</v>
      </c>
      <c r="E1" s="3" t="s">
        <v>321</v>
      </c>
      <c r="F1" s="3" t="s">
        <v>322</v>
      </c>
      <c r="G1" s="3" t="s">
        <v>323</v>
      </c>
      <c r="H1" s="30" t="s">
        <v>258</v>
      </c>
      <c r="I1" s="20" t="s">
        <v>324</v>
      </c>
      <c r="J1" s="20" t="s">
        <v>310</v>
      </c>
      <c r="K1" s="20" t="s">
        <v>318</v>
      </c>
      <c r="L1" s="1" t="s">
        <v>375</v>
      </c>
      <c r="M1" s="1" t="s">
        <v>376</v>
      </c>
      <c r="N1" s="20" t="s">
        <v>377</v>
      </c>
      <c r="O1" s="20" t="s">
        <v>378</v>
      </c>
      <c r="P1" s="11" t="s">
        <v>424</v>
      </c>
      <c r="Q1" s="11" t="s">
        <v>425</v>
      </c>
      <c r="R1" s="31" t="s">
        <v>426</v>
      </c>
      <c r="S1" s="31" t="s">
        <v>427</v>
      </c>
      <c r="T1" s="3" t="s">
        <v>428</v>
      </c>
      <c r="U1" s="3" t="s">
        <v>429</v>
      </c>
      <c r="V1" s="3" t="s">
        <v>430</v>
      </c>
      <c r="W1" s="3" t="s">
        <v>431</v>
      </c>
      <c r="X1" s="3" t="s">
        <v>449</v>
      </c>
      <c r="Y1" s="3" t="s">
        <v>460</v>
      </c>
      <c r="Z1" s="11" t="s">
        <v>450</v>
      </c>
      <c r="AA1" s="11" t="s">
        <v>453</v>
      </c>
      <c r="AB1" s="3" t="s">
        <v>454</v>
      </c>
      <c r="AC1" s="7" t="s">
        <v>296</v>
      </c>
      <c r="AD1" s="7" t="s">
        <v>204</v>
      </c>
      <c r="AE1" s="7" t="s">
        <v>363</v>
      </c>
      <c r="AF1" s="7" t="s">
        <v>361</v>
      </c>
      <c r="AG1" s="7" t="s">
        <v>364</v>
      </c>
      <c r="AH1" s="7" t="s">
        <v>362</v>
      </c>
      <c r="AI1" s="7" t="s">
        <v>297</v>
      </c>
      <c r="AJ1" s="7" t="s">
        <v>343</v>
      </c>
      <c r="AK1" s="7" t="s">
        <v>371</v>
      </c>
      <c r="AL1" s="7" t="s">
        <v>372</v>
      </c>
    </row>
    <row r="2" spans="1:38">
      <c r="A2" s="13" t="str">
        <f>CONCATENATE(D2,H2)</f>
        <v>ECON1010S1</v>
      </c>
      <c r="B2" s="57" t="s">
        <v>811</v>
      </c>
      <c r="C2" s="71">
        <v>2019</v>
      </c>
      <c r="D2" s="80" t="s">
        <v>56</v>
      </c>
      <c r="E2" s="13" t="str">
        <f>IF(VLOOKUP($A2,Courses!$A$2:$F$268,3,FALSE)=0,"",VLOOKUP($A2,Courses!$A$2:$F$268,3,FALSE))</f>
        <v/>
      </c>
      <c r="F2" s="13" t="str">
        <f>IF(VLOOKUP($A2,Courses!$A$2:$F$268,4,FALSE)=0,"",VLOOKUP($A2,Courses!$A$2:$F$268,4,FALSE))</f>
        <v/>
      </c>
      <c r="G2" s="13" t="str">
        <f>VLOOKUP($A2,Courses!$A$2:$F$268,5,FALSE)</f>
        <v>Introductory Microeconomics</v>
      </c>
      <c r="H2" s="70" t="s">
        <v>253</v>
      </c>
      <c r="I2" s="21" t="s">
        <v>252</v>
      </c>
      <c r="J2" s="70" t="s">
        <v>252</v>
      </c>
      <c r="L2" s="120">
        <v>2</v>
      </c>
      <c r="M2" s="71">
        <v>13</v>
      </c>
      <c r="N2" s="21"/>
      <c r="O2" s="21"/>
      <c r="P2" s="12">
        <f>IF($I2="Y",(wCCH1+wCCH2*$AJ2)*($AE2*$AF2)+(1-$AC2)*MIN(wCCH3*$AI2,maxCCH) + $AC2*MIN(wCCH4*$AI2,maxCCH),0)</f>
        <v>56.69</v>
      </c>
      <c r="Q2" s="12">
        <f>IF($J2="Y",(wTCH1+wTCH2*IF($K2="Y",1,0))*$AG2*$AH2+(1-$AC2)*MIN(wTCH3*$AI2,maxTCH) + $AC2*MIN(wTCH4*$AI2,maxTCH),0)</f>
        <v>26.185600000000001</v>
      </c>
      <c r="R2" s="10">
        <f>(wOLH1+wOLH2*IF($K2="Y",1,0)+wOLH3*$AD2)*$T2 + wRLH*$U2</f>
        <v>104</v>
      </c>
      <c r="S2" s="10">
        <f>wOTH*$V2 + wRTH*$W2</f>
        <v>0</v>
      </c>
      <c r="T2" s="10">
        <f>IF($L2&gt;0,$M2*$AF2,0)</f>
        <v>26</v>
      </c>
      <c r="U2" s="10">
        <f>IF($L2&gt;1,($L2-1)*$M2*$AF2,0)</f>
        <v>26</v>
      </c>
      <c r="V2" s="10">
        <f>IF($N2&gt;0,$O2*$AH2,0)</f>
        <v>0</v>
      </c>
      <c r="W2" s="10">
        <f>IF($N2&gt;1,($N2-1)*$O2*$AH2,0)</f>
        <v>0</v>
      </c>
      <c r="X2" s="12">
        <f>(wAPH1+wAPH2*IF($K2="Y",1,0)+wAPH3*$AJ2)*IF($AE2&gt;0,$M2/$AE2,0)</f>
        <v>50</v>
      </c>
      <c r="Y2" s="33">
        <f>wCMH*MIN($AI2,maxCMH)*IF($AE2&gt;0,$M2/$AE2,1)</f>
        <v>15</v>
      </c>
      <c r="Z2" s="12">
        <f>wCACH1*($T2+$V2) +((1-$AC2)*MIN(wCACH2*$AI2,maxCACH) + $AC2*MIN(wCACH3*$AI2,maxCACH))*IF($AE2&gt;0,$M2/$AE2,1)</f>
        <v>56.69</v>
      </c>
      <c r="AA2" s="12">
        <f>SUM($P2:$Z2)</f>
        <v>360.56559999999996</v>
      </c>
      <c r="AB2" s="10">
        <f>ROUND(AA2/172.5,1)</f>
        <v>2.1</v>
      </c>
      <c r="AC2" s="14">
        <f>IF(VLOOKUP($A2,Courses!$A$2:$P$268,7,FALSE)="Y",1,0)</f>
        <v>1</v>
      </c>
      <c r="AD2" s="14">
        <f>VLOOKUP($A2,Courses!$A$2:$P$268,8,FALSE)</f>
        <v>0</v>
      </c>
      <c r="AE2" s="14">
        <f>VLOOKUP($A2,Courses!$A$2:$P$268,9,FALSE)</f>
        <v>13</v>
      </c>
      <c r="AF2" s="14">
        <f>VLOOKUP($A2,Courses!$A$2:$P$268,10,FALSE)</f>
        <v>2</v>
      </c>
      <c r="AG2" s="14">
        <f>VLOOKUP($A2,Courses!$A$2:$P$268,11,FALSE)</f>
        <v>12</v>
      </c>
      <c r="AH2" s="15">
        <f>VLOOKUP($A2,Courses!$A$2:$P$268,12,FALSE)</f>
        <v>1</v>
      </c>
      <c r="AI2" s="15">
        <f>VLOOKUP($A2,Courses!$A$2:$P$268,13,FALSE)</f>
        <v>682</v>
      </c>
      <c r="AJ2" s="15">
        <f>VLOOKUP($A2,Courses!$A$2:$P$268,14,FALSE)</f>
        <v>0</v>
      </c>
      <c r="AK2" s="15">
        <f>VLOOKUP($A2,Courses!$A$2:$P$268,15,FALSE)</f>
        <v>1</v>
      </c>
      <c r="AL2" s="15">
        <f>VLOOKUP($A2,Courses!$A$2:$P$268,16,FALSE)</f>
        <v>18</v>
      </c>
    </row>
    <row r="3" spans="1:38">
      <c r="A3" s="13" t="str">
        <f>CONCATENATE(D3,H3)</f>
        <v>ECON1010S2</v>
      </c>
      <c r="B3" s="57" t="s">
        <v>807</v>
      </c>
      <c r="C3" s="71"/>
      <c r="D3" s="80" t="s">
        <v>56</v>
      </c>
      <c r="E3" s="13" t="str">
        <f>IF(VLOOKUP($A3,Courses!$A$2:$F$268,3,FALSE)=0,"",VLOOKUP($A3,Courses!$A$2:$F$268,3,FALSE))</f>
        <v/>
      </c>
      <c r="F3" s="13" t="str">
        <f>IF(VLOOKUP($A3,Courses!$A$2:$F$268,4,FALSE)=0,"",VLOOKUP($A3,Courses!$A$2:$F$268,4,FALSE))</f>
        <v/>
      </c>
      <c r="G3" s="13" t="str">
        <f>VLOOKUP($A3,Courses!$A$2:$F$268,5,FALSE)</f>
        <v>Introductory Microeconomics</v>
      </c>
      <c r="H3" s="70" t="s">
        <v>254</v>
      </c>
      <c r="I3" s="21" t="s">
        <v>252</v>
      </c>
      <c r="K3" s="70" t="s">
        <v>252</v>
      </c>
      <c r="L3" s="120">
        <v>1</v>
      </c>
      <c r="M3" s="71">
        <v>13</v>
      </c>
      <c r="N3" s="21"/>
      <c r="O3" s="21"/>
      <c r="P3" s="12">
        <f>IF($I3="Y",(wCCH1+wCCH2*$AJ3)*($AE3*$AF3)+(1-$AC3)*MIN(wCCH3*$AI3,maxCCH) + $AC3*MIN(wCCH4*$AI3,maxCCH),0)</f>
        <v>45.26</v>
      </c>
      <c r="Q3" s="12">
        <f>IF($J3="Y",(wTCH1+wTCH2*IF($K3="Y",1,0))*$AG3*$AH3+(1-$AC3)*MIN(wTCH3*$AI3,maxTCH) + $AC3*MIN(wTCH4*$AI3,maxTCH),0)</f>
        <v>0</v>
      </c>
      <c r="R3" s="10">
        <f>(wOLH1+wOLH2*IF($K3="Y",1,0)+wOLH3*$AD3)*$T3 + wRLH*$U3</f>
        <v>130</v>
      </c>
      <c r="S3" s="10">
        <f>wOTH*$V3 + wRTH*$W3</f>
        <v>0</v>
      </c>
      <c r="T3" s="10">
        <f>IF($L3&gt;0,$M3*$AF3,0)</f>
        <v>26</v>
      </c>
      <c r="U3" s="10">
        <f>IF($L3&gt;1,($L3-1)*$M3*$AF3,0)</f>
        <v>0</v>
      </c>
      <c r="V3" s="10">
        <f>IF($N3&gt;0,$O3*$AH3,0)</f>
        <v>0</v>
      </c>
      <c r="W3" s="10">
        <f>IF($N3&gt;1,($N3-1)*$O3*$AH3,0)</f>
        <v>0</v>
      </c>
      <c r="X3" s="12">
        <f>(wAPH1+wAPH2*IF($K3="Y",1,0)+wAPH3*$AJ3)*IF($AE3&gt;0,$M3/$AE3,0)</f>
        <v>70</v>
      </c>
      <c r="Y3" s="33">
        <f>wCMH*MIN($AI3,maxCMH)*IF($AE3&gt;0,$M3/$AE3,1)</f>
        <v>15</v>
      </c>
      <c r="Z3" s="12">
        <f>wCACH1*($T3+$V3) +((1-$AC3)*MIN(wCACH2*$AI3,maxCACH) + $AC3*MIN(wCACH3*$AI3,maxCACH))*IF($AE3&gt;0,$M3/$AE3,1)</f>
        <v>45.26</v>
      </c>
      <c r="AA3" s="12">
        <f>SUM($P3:$Z3)</f>
        <v>331.52</v>
      </c>
      <c r="AB3" s="10">
        <f>ROUND(AA3/172.5,1)</f>
        <v>1.9</v>
      </c>
      <c r="AC3" s="14">
        <f>IF(VLOOKUP($A3,Courses!$A$2:$P$268,7,FALSE)="Y",1,0)</f>
        <v>1</v>
      </c>
      <c r="AD3" s="14">
        <f>VLOOKUP($A3,Courses!$A$2:$P$268,8,FALSE)</f>
        <v>0</v>
      </c>
      <c r="AE3" s="14">
        <f>VLOOKUP($A3,Courses!$A$2:$P$268,9,FALSE)</f>
        <v>13</v>
      </c>
      <c r="AF3" s="14">
        <f>VLOOKUP($A3,Courses!$A$2:$P$268,10,FALSE)</f>
        <v>2</v>
      </c>
      <c r="AG3" s="14">
        <f>VLOOKUP($A3,Courses!$A$2:$P$268,11,FALSE)</f>
        <v>12</v>
      </c>
      <c r="AH3" s="15">
        <f>VLOOKUP($A3,Courses!$A$2:$P$268,12,FALSE)</f>
        <v>1</v>
      </c>
      <c r="AI3" s="15">
        <f>VLOOKUP($A3,Courses!$A$2:$P$268,13,FALSE)</f>
        <v>428</v>
      </c>
      <c r="AJ3" s="15">
        <f>VLOOKUP($A3,Courses!$A$2:$P$268,14,FALSE)</f>
        <v>0</v>
      </c>
      <c r="AK3" s="15">
        <f>VLOOKUP($A3,Courses!$A$2:$P$268,15,FALSE)</f>
        <v>0</v>
      </c>
      <c r="AL3" s="15">
        <f>VLOOKUP($A3,Courses!$A$2:$P$268,16,FALSE)</f>
        <v>11</v>
      </c>
    </row>
    <row r="4" spans="1:38">
      <c r="A4" s="13" t="str">
        <f>CONCATENATE(D4,H4)</f>
        <v>ECON1010S3</v>
      </c>
      <c r="B4" s="69" t="s">
        <v>269</v>
      </c>
      <c r="D4" s="80" t="s">
        <v>56</v>
      </c>
      <c r="E4" s="13" t="str">
        <f>IF(VLOOKUP($A4,Courses!$A$2:$F$268,3,FALSE)=0,"",VLOOKUP($A4,Courses!$A$2:$F$268,3,FALSE))</f>
        <v/>
      </c>
      <c r="F4" s="13" t="str">
        <f>IF(VLOOKUP($A4,Courses!$A$2:$F$268,4,FALSE)=0,"",VLOOKUP($A4,Courses!$A$2:$F$268,4,FALSE))</f>
        <v/>
      </c>
      <c r="G4" s="13" t="str">
        <f>VLOOKUP($A4,Courses!$A$2:$F$268,5,FALSE)</f>
        <v>Introductory Microeconomics</v>
      </c>
      <c r="H4" s="70" t="s">
        <v>255</v>
      </c>
      <c r="I4" s="21" t="s">
        <v>252</v>
      </c>
      <c r="K4" s="70" t="s">
        <v>252</v>
      </c>
      <c r="L4" s="70">
        <v>1</v>
      </c>
      <c r="M4" s="71">
        <v>12</v>
      </c>
      <c r="N4" s="21"/>
      <c r="P4" s="12">
        <f>IF($I4="Y",(wCCH1+wCCH2*$AJ4)*($AE4*$AF4)+(1-$AC4)*MIN(wCCH3*$AI4,maxCCH) + $AC4*MIN(wCCH4*$AI4,maxCCH),0)</f>
        <v>53.835000000000001</v>
      </c>
      <c r="Q4" s="12">
        <f>IF($J4="Y",(wTCH1+wTCH2*IF($K4="Y",1,0))*$AG4*$AH4+(1-$AC4)*MIN(wTCH3*$AI4,maxTCH) + $AC4*MIN(wTCH4*$AI4,maxTCH),0)</f>
        <v>0</v>
      </c>
      <c r="R4" s="10">
        <f>(wOLH1+wOLH2*IF($K4="Y",1,0)+wOLH3*$AD4)*$T4 + wRLH*$U4</f>
        <v>120</v>
      </c>
      <c r="S4" s="10">
        <f>wOTH*$V4 + wRTH*$W4</f>
        <v>0</v>
      </c>
      <c r="T4" s="10">
        <f>IF($L4&gt;0,$M4*$AF4,0)</f>
        <v>24</v>
      </c>
      <c r="U4" s="10">
        <f>IF($L4&gt;1,($L4-1)*$M4*$AF4,0)</f>
        <v>0</v>
      </c>
      <c r="V4" s="10">
        <f>IF($N4&gt;0,$O4*$AH4,0)</f>
        <v>0</v>
      </c>
      <c r="W4" s="10">
        <f>IF($N4&gt;1,($N4-1)*$O4*$AH4,0)</f>
        <v>0</v>
      </c>
      <c r="X4" s="12">
        <f>(wAPH1+wAPH2*IF($K4="Y",1,0)+wAPH3*$AJ4)*IF($AE4&gt;0,$M4/$AE4,0)</f>
        <v>70</v>
      </c>
      <c r="Y4" s="33">
        <f>wCMH*MIN($AI4,maxCMH)*IF($AE4&gt;0,$M4/$AE4,1)</f>
        <v>15</v>
      </c>
      <c r="Z4" s="12">
        <f>wCACH1*($T4+$V4) +((1-$AC4)*MIN(wCACH2*$AI4,maxCACH) + $AC4*MIN(wCACH3*$AI4,maxCACH))*IF($AE4&gt;0,$M4/$AE4,1)</f>
        <v>53.835000000000001</v>
      </c>
      <c r="AA4" s="12">
        <f>SUM($P4:$Z4)</f>
        <v>336.67</v>
      </c>
      <c r="AB4" s="10">
        <f>ROUND(AA4/172.5,1)</f>
        <v>2</v>
      </c>
      <c r="AC4" s="14">
        <f>IF(VLOOKUP($A4,Courses!$A$2:$P$268,7,FALSE)="Y",1,0)</f>
        <v>0</v>
      </c>
      <c r="AD4" s="14">
        <f>VLOOKUP($A4,Courses!$A$2:$P$268,8,FALSE)</f>
        <v>0</v>
      </c>
      <c r="AE4" s="14">
        <f>VLOOKUP($A4,Courses!$A$2:$P$268,9,FALSE)</f>
        <v>12</v>
      </c>
      <c r="AF4" s="14">
        <f>VLOOKUP($A4,Courses!$A$2:$P$268,10,FALSE)</f>
        <v>2</v>
      </c>
      <c r="AG4" s="14">
        <f>VLOOKUP($A4,Courses!$A$2:$P$268,11,FALSE)</f>
        <v>12</v>
      </c>
      <c r="AH4" s="15">
        <f>VLOOKUP($A4,Courses!$A$2:$P$268,12,FALSE)</f>
        <v>1</v>
      </c>
      <c r="AI4" s="15">
        <f>VLOOKUP($A4,Courses!$A$2:$P$268,13,FALSE)</f>
        <v>221</v>
      </c>
      <c r="AJ4" s="15">
        <f>VLOOKUP($A4,Courses!$A$2:$P$268,14,FALSE)</f>
        <v>0</v>
      </c>
      <c r="AK4" s="15">
        <f>VLOOKUP($A4,Courses!$A$2:$P$268,15,FALSE)</f>
        <v>0</v>
      </c>
      <c r="AL4" s="15">
        <f>VLOOKUP($A4,Courses!$A$2:$P$268,16,FALSE)</f>
        <v>6</v>
      </c>
    </row>
    <row r="5" spans="1:38" ht="14.1" customHeight="1">
      <c r="A5" s="13" t="str">
        <f>CONCATENATE(D5,H5)</f>
        <v>ECON1011S1</v>
      </c>
      <c r="B5" s="57" t="s">
        <v>511</v>
      </c>
      <c r="C5" s="71"/>
      <c r="D5" s="80" t="s">
        <v>207</v>
      </c>
      <c r="E5" s="13" t="str">
        <f>IF(VLOOKUP($A5,Courses!$A$2:$F$268,3,FALSE)=0,"",VLOOKUP($A5,Courses!$A$2:$F$268,3,FALSE))</f>
        <v/>
      </c>
      <c r="F5" s="13" t="str">
        <f>IF(VLOOKUP($A5,Courses!$A$2:$F$268,4,FALSE)=0,"",VLOOKUP($A5,Courses!$A$2:$F$268,4,FALSE))</f>
        <v/>
      </c>
      <c r="G5" s="13" t="str">
        <f>VLOOKUP($A5,Courses!$A$2:$F$268,5,FALSE)</f>
        <v>Economics for Business</v>
      </c>
      <c r="H5" s="70" t="s">
        <v>253</v>
      </c>
      <c r="I5" s="21" t="s">
        <v>252</v>
      </c>
      <c r="J5" s="127"/>
      <c r="K5" s="70" t="s">
        <v>252</v>
      </c>
      <c r="L5" s="120">
        <v>1</v>
      </c>
      <c r="M5" s="71">
        <v>13</v>
      </c>
      <c r="N5" s="21"/>
      <c r="O5" s="21"/>
      <c r="P5" s="12">
        <f>IF($I5="Y",(wCCH1+wCCH2*$AJ5)*($AE5*$AF5)+(1-$AC5)*MIN(wCCH3*$AI5,maxCCH) + $AC5*MIN(wCCH4*$AI5,maxCCH),0)</f>
        <v>48.094999999999999</v>
      </c>
      <c r="Q5" s="12">
        <f>IF($J5="Y",(wTCH1+wTCH2*IF($K5="Y",1,0))*$AG5*$AH5+(1-$AC5)*MIN(wTCH3*$AI5,maxTCH) + $AC5*MIN(wTCH4*$AI5,maxTCH),0)</f>
        <v>0</v>
      </c>
      <c r="R5" s="10">
        <f>(wOLH1+wOLH2*IF($K5="Y",1,0)+wOLH3*$AD5)*$T5 + wRLH*$U5</f>
        <v>130</v>
      </c>
      <c r="S5" s="10">
        <f>wOTH*$V5 + wRTH*$W5</f>
        <v>0</v>
      </c>
      <c r="T5" s="10">
        <f>IF($L5&gt;0,$M5*$AF5,0)</f>
        <v>26</v>
      </c>
      <c r="U5" s="10">
        <f>IF($L5&gt;1,($L5-1)*$M5*$AF5,0)</f>
        <v>0</v>
      </c>
      <c r="V5" s="10">
        <f>IF($N5&gt;0,$O5*$AH5,0)</f>
        <v>0</v>
      </c>
      <c r="W5" s="10">
        <f>IF($N5&gt;1,($N5-1)*$O5*$AH5,0)</f>
        <v>0</v>
      </c>
      <c r="X5" s="12">
        <f>(wAPH1+wAPH2*IF($K5="Y",1,0)+wAPH3*$AJ5)*IF($AE5&gt;0,$M5/$AE5,0)</f>
        <v>70</v>
      </c>
      <c r="Y5" s="33">
        <f>wCMH*MIN($AI5,maxCMH)*IF($AE5&gt;0,$M5/$AE5,1)</f>
        <v>15</v>
      </c>
      <c r="Z5" s="12">
        <f>wCACH1*($T5+$V5) +((1-$AC5)*MIN(wCACH2*$AI5,maxCACH) + $AC5*MIN(wCACH3*$AI5,maxCACH))*IF($AE5&gt;0,$M5/$AE5,1)</f>
        <v>48.094999999999999</v>
      </c>
      <c r="AA5" s="12">
        <f>SUM($P5:$Z5)</f>
        <v>337.19000000000005</v>
      </c>
      <c r="AB5" s="10">
        <f>ROUND(AA5/172.5,1)</f>
        <v>2</v>
      </c>
      <c r="AC5" s="14">
        <f>IF(VLOOKUP($A5,Courses!$A$2:$P$268,7,FALSE)="Y",1,0)</f>
        <v>1</v>
      </c>
      <c r="AD5" s="14">
        <f>VLOOKUP($A5,Courses!$A$2:$P$268,8,FALSE)</f>
        <v>0</v>
      </c>
      <c r="AE5" s="14">
        <f>VLOOKUP($A5,Courses!$A$2:$P$268,9,FALSE)</f>
        <v>13</v>
      </c>
      <c r="AF5" s="14">
        <f>VLOOKUP($A5,Courses!$A$2:$P$268,10,FALSE)</f>
        <v>2</v>
      </c>
      <c r="AG5" s="14">
        <f>VLOOKUP($A5,Courses!$A$2:$P$268,11,FALSE)</f>
        <v>12</v>
      </c>
      <c r="AH5" s="15">
        <f>VLOOKUP($A5,Courses!$A$2:$P$268,12,FALSE)</f>
        <v>1</v>
      </c>
      <c r="AI5" s="15">
        <f>VLOOKUP($A5,Courses!$A$2:$P$268,13,FALSE)</f>
        <v>491</v>
      </c>
      <c r="AJ5" s="15">
        <f>VLOOKUP($A5,Courses!$A$2:$P$268,14,FALSE)</f>
        <v>0</v>
      </c>
      <c r="AK5" s="15">
        <f>VLOOKUP($A5,Courses!$A$2:$P$268,15,FALSE)</f>
        <v>0</v>
      </c>
      <c r="AL5" s="15">
        <f>VLOOKUP($A5,Courses!$A$2:$P$268,16,FALSE)</f>
        <v>13</v>
      </c>
    </row>
    <row r="6" spans="1:38">
      <c r="A6" s="13" t="str">
        <f>CONCATENATE(D6,H6)</f>
        <v>ECON1011S2</v>
      </c>
      <c r="B6" s="57" t="s">
        <v>807</v>
      </c>
      <c r="C6" s="71"/>
      <c r="D6" s="80" t="s">
        <v>207</v>
      </c>
      <c r="E6" s="13" t="str">
        <f>IF(VLOOKUP($A6,Courses!$A$2:$F$268,3,FALSE)=0,"",VLOOKUP($A6,Courses!$A$2:$F$268,3,FALSE))</f>
        <v/>
      </c>
      <c r="F6" s="13" t="str">
        <f>IF(VLOOKUP($A6,Courses!$A$2:$F$268,4,FALSE)=0,"",VLOOKUP($A6,Courses!$A$2:$F$268,4,FALSE))</f>
        <v/>
      </c>
      <c r="G6" s="13" t="str">
        <f>VLOOKUP($A6,Courses!$A$2:$F$268,5,FALSE)</f>
        <v>Economics for Business</v>
      </c>
      <c r="H6" s="70" t="s">
        <v>254</v>
      </c>
      <c r="I6" s="21" t="s">
        <v>252</v>
      </c>
      <c r="J6" s="127"/>
      <c r="L6" s="120">
        <v>1</v>
      </c>
      <c r="M6" s="71">
        <v>13</v>
      </c>
      <c r="N6" s="21"/>
      <c r="O6" s="21"/>
      <c r="P6" s="12">
        <f>IF($I6="Y",(wCCH1+wCCH2*$AJ6)*($AE6*$AF6)+(1-$AC6)*MIN(wCCH3*$AI6,maxCCH) + $AC6*MIN(wCCH4*$AI6,maxCCH),0)</f>
        <v>53.945</v>
      </c>
      <c r="Q6" s="12">
        <f>IF($J6="Y",(wTCH1+wTCH2*IF($K6="Y",1,0))*$AG6*$AH6+(1-$AC6)*MIN(wTCH3*$AI6,maxTCH) + $AC6*MIN(wTCH4*$AI6,maxTCH),0)</f>
        <v>0</v>
      </c>
      <c r="R6" s="10">
        <f>(wOLH1+wOLH2*IF($K6="Y",1,0)+wOLH3*$AD6)*$T6 + wRLH*$U6</f>
        <v>78</v>
      </c>
      <c r="S6" s="10">
        <f>wOTH*$V6 + wRTH*$W6</f>
        <v>0</v>
      </c>
      <c r="T6" s="10">
        <f>IF($L6&gt;0,$M6*$AF6,0)</f>
        <v>26</v>
      </c>
      <c r="U6" s="10">
        <f>IF($L6&gt;1,($L6-1)*$M6*$AF6,0)</f>
        <v>0</v>
      </c>
      <c r="V6" s="10">
        <f>IF($N6&gt;0,$O6*$AH6,0)</f>
        <v>0</v>
      </c>
      <c r="W6" s="10">
        <f>IF($N6&gt;1,($N6-1)*$O6*$AH6,0)</f>
        <v>0</v>
      </c>
      <c r="X6" s="12">
        <f>(wAPH1+wAPH2*IF($K6="Y",1,0)+wAPH3*$AJ6)*IF($AE6&gt;0,$M6/$AE6,0)</f>
        <v>50</v>
      </c>
      <c r="Y6" s="33">
        <f>wCMH*MIN($AI6,maxCMH)*IF($AE6&gt;0,$M6/$AE6,1)</f>
        <v>15</v>
      </c>
      <c r="Z6" s="12">
        <f>wCACH1*($T6+$V6) +((1-$AC6)*MIN(wCACH2*$AI6,maxCACH) + $AC6*MIN(wCACH3*$AI6,maxCACH))*IF($AE6&gt;0,$M6/$AE6,1)</f>
        <v>53.945</v>
      </c>
      <c r="AA6" s="12">
        <f>SUM($P6:$Z6)</f>
        <v>276.89</v>
      </c>
      <c r="AB6" s="10">
        <f>ROUND(AA6/172.5,1)</f>
        <v>1.6</v>
      </c>
      <c r="AC6" s="14">
        <f>IF(VLOOKUP($A6,Courses!$A$2:$P$268,7,FALSE)="Y",1,0)</f>
        <v>1</v>
      </c>
      <c r="AD6" s="14">
        <f>VLOOKUP($A6,Courses!$A$2:$P$268,8,FALSE)</f>
        <v>0</v>
      </c>
      <c r="AE6" s="14">
        <f>VLOOKUP($A6,Courses!$A$2:$P$268,9,FALSE)</f>
        <v>13</v>
      </c>
      <c r="AF6" s="14">
        <f>VLOOKUP($A6,Courses!$A$2:$P$268,10,FALSE)</f>
        <v>2</v>
      </c>
      <c r="AG6" s="14">
        <f>VLOOKUP($A6,Courses!$A$2:$P$268,11,FALSE)</f>
        <v>12</v>
      </c>
      <c r="AH6" s="15">
        <f>VLOOKUP($A6,Courses!$A$2:$P$268,12,FALSE)</f>
        <v>1</v>
      </c>
      <c r="AI6" s="15">
        <f>VLOOKUP($A6,Courses!$A$2:$P$268,13,FALSE)</f>
        <v>621</v>
      </c>
      <c r="AJ6" s="15">
        <f>VLOOKUP($A6,Courses!$A$2:$P$268,14,FALSE)</f>
        <v>0</v>
      </c>
      <c r="AK6" s="15">
        <f>VLOOKUP($A6,Courses!$A$2:$P$268,15,FALSE)</f>
        <v>1</v>
      </c>
      <c r="AL6" s="15">
        <f>VLOOKUP($A6,Courses!$A$2:$P$268,16,FALSE)</f>
        <v>16</v>
      </c>
    </row>
    <row r="7" spans="1:38">
      <c r="A7" s="13" t="str">
        <f>CONCATENATE(D7,H7)</f>
        <v>ECON1020S1</v>
      </c>
      <c r="B7" s="69" t="s">
        <v>21</v>
      </c>
      <c r="C7" s="70">
        <v>2015</v>
      </c>
      <c r="D7" s="80" t="s">
        <v>54</v>
      </c>
      <c r="E7" s="13" t="str">
        <f>IF(VLOOKUP($A7,Courses!$A$2:$F$268,3,FALSE)=0,"",VLOOKUP($A7,Courses!$A$2:$F$268,3,FALSE))</f>
        <v/>
      </c>
      <c r="F7" s="13" t="str">
        <f>IF(VLOOKUP($A7,Courses!$A$2:$F$268,4,FALSE)=0,"",VLOOKUP($A7,Courses!$A$2:$F$268,4,FALSE))</f>
        <v/>
      </c>
      <c r="G7" s="13" t="str">
        <f>VLOOKUP($A7,Courses!$A$2:$F$268,5,FALSE)</f>
        <v>Introductory Macroeconomics</v>
      </c>
      <c r="H7" s="70" t="s">
        <v>253</v>
      </c>
      <c r="I7" s="21" t="s">
        <v>252</v>
      </c>
      <c r="K7" s="70" t="s">
        <v>252</v>
      </c>
      <c r="L7" s="120">
        <v>1</v>
      </c>
      <c r="M7" s="71">
        <v>13</v>
      </c>
      <c r="N7" s="21"/>
      <c r="O7" s="21"/>
      <c r="P7" s="12">
        <f>IF($I7="Y",(wCCH1+wCCH2*$AJ7)*($AE7*$AF7)+(1-$AC7)*MIN(wCCH3*$AI7,maxCCH) + $AC7*MIN(wCCH4*$AI7,maxCCH),0)</f>
        <v>59.795000000000002</v>
      </c>
      <c r="Q7" s="12">
        <f>IF($J7="Y",(wTCH1+wTCH2*IF($K7="Y",1,0))*$AG7*$AH7+(1-$AC7)*MIN(wTCH3*$AI7,maxTCH) + $AC7*MIN(wTCH4*$AI7,maxTCH),0)</f>
        <v>0</v>
      </c>
      <c r="R7" s="10">
        <f>(wOLH1+wOLH2*IF($K7="Y",1,0)+wOLH3*$AD7)*$T7 + wRLH*$U7</f>
        <v>130</v>
      </c>
      <c r="S7" s="10">
        <f>wOTH*$V7 + wRTH*$W7</f>
        <v>0</v>
      </c>
      <c r="T7" s="10">
        <f>IF($L7&gt;0,$M7*$AF7,0)</f>
        <v>26</v>
      </c>
      <c r="U7" s="10">
        <f>IF($L7&gt;1,($L7-1)*$M7*$AF7,0)</f>
        <v>0</v>
      </c>
      <c r="V7" s="10">
        <f>IF($N7&gt;0,$O7*$AH7,0)</f>
        <v>0</v>
      </c>
      <c r="W7" s="10">
        <f>IF($N7&gt;1,($N7-1)*$O7*$AH7,0)</f>
        <v>0</v>
      </c>
      <c r="X7" s="12">
        <f>(wAPH1+wAPH2*IF($K7="Y",1,0)+wAPH3*$AJ7)*IF($AE7&gt;0,$M7/$AE7,0)</f>
        <v>70</v>
      </c>
      <c r="Y7" s="33">
        <f>wCMH*MIN($AI7,maxCMH)*IF($AE7&gt;0,$M7/$AE7,1)</f>
        <v>15</v>
      </c>
      <c r="Z7" s="12">
        <f>wCACH1*($T7+$V7) +((1-$AC7)*MIN(wCACH2*$AI7,maxCACH) + $AC7*MIN(wCACH3*$AI7,maxCACH))*IF($AE7&gt;0,$M7/$AE7,1)</f>
        <v>59.795000000000002</v>
      </c>
      <c r="AA7" s="12">
        <f>SUM($P7:$Z7)</f>
        <v>360.59000000000003</v>
      </c>
      <c r="AB7" s="10">
        <f>ROUND(AA7/172.5,1)</f>
        <v>2.1</v>
      </c>
      <c r="AC7" s="14">
        <f>IF(VLOOKUP($A7,Courses!$A$2:$P$268,7,FALSE)="Y",1,0)</f>
        <v>1</v>
      </c>
      <c r="AD7" s="14">
        <f>VLOOKUP($A7,Courses!$A$2:$P$268,8,FALSE)</f>
        <v>0</v>
      </c>
      <c r="AE7" s="14">
        <f>VLOOKUP($A7,Courses!$A$2:$P$268,9,FALSE)</f>
        <v>13</v>
      </c>
      <c r="AF7" s="14">
        <f>VLOOKUP($A7,Courses!$A$2:$P$268,10,FALSE)</f>
        <v>2</v>
      </c>
      <c r="AG7" s="14">
        <f>VLOOKUP($A7,Courses!$A$2:$P$268,11,FALSE)</f>
        <v>12</v>
      </c>
      <c r="AH7" s="15">
        <f>VLOOKUP($A7,Courses!$A$2:$P$268,12,FALSE)</f>
        <v>2</v>
      </c>
      <c r="AI7" s="15">
        <f>VLOOKUP($A7,Courses!$A$2:$P$268,13,FALSE)</f>
        <v>751</v>
      </c>
      <c r="AJ7" s="15">
        <f>VLOOKUP($A7,Courses!$A$2:$P$268,14,FALSE)</f>
        <v>0</v>
      </c>
      <c r="AK7" s="15">
        <f>VLOOKUP($A7,Courses!$A$2:$P$268,15,FALSE)</f>
        <v>1</v>
      </c>
      <c r="AL7" s="15">
        <f>VLOOKUP($A7,Courses!$A$2:$P$268,16,FALSE)</f>
        <v>19</v>
      </c>
    </row>
    <row r="8" spans="1:38">
      <c r="A8" s="13" t="str">
        <f>CONCATENATE(D8,H8)</f>
        <v>ECON1020S2</v>
      </c>
      <c r="B8" s="57" t="s">
        <v>142</v>
      </c>
      <c r="C8" s="71"/>
      <c r="D8" s="80" t="s">
        <v>54</v>
      </c>
      <c r="E8" s="13" t="str">
        <f>IF(VLOOKUP($A8,Courses!$A$2:$F$268,3,FALSE)=0,"",VLOOKUP($A8,Courses!$A$2:$F$268,3,FALSE))</f>
        <v/>
      </c>
      <c r="F8" s="13" t="str">
        <f>IF(VLOOKUP($A8,Courses!$A$2:$F$268,4,FALSE)=0,"",VLOOKUP($A8,Courses!$A$2:$F$268,4,FALSE))</f>
        <v/>
      </c>
      <c r="G8" s="13" t="str">
        <f>VLOOKUP($A8,Courses!$A$2:$F$268,5,FALSE)</f>
        <v>Introductory Macroeconomics</v>
      </c>
      <c r="H8" s="70" t="s">
        <v>254</v>
      </c>
      <c r="I8" s="21" t="s">
        <v>252</v>
      </c>
      <c r="J8" s="70" t="s">
        <v>252</v>
      </c>
      <c r="K8" s="70" t="s">
        <v>252</v>
      </c>
      <c r="L8" s="120">
        <v>1</v>
      </c>
      <c r="M8" s="71">
        <v>13</v>
      </c>
      <c r="N8" s="21"/>
      <c r="O8" s="21"/>
      <c r="P8" s="12">
        <f>IF($I8="Y",(wCCH1+wCCH2*$AJ8)*($AE8*$AF8)+(1-$AC8)*MIN(wCCH3*$AI8,maxCCH) + $AC8*MIN(wCCH4*$AI8,maxCCH),0)</f>
        <v>54.89</v>
      </c>
      <c r="Q8" s="12">
        <f>IF($J8="Y",(wTCH1+wTCH2*IF($K8="Y",1,0))*$AG8*$AH8+(1-$AC8)*MIN(wTCH3*$AI8,maxTCH) + $AC8*MIN(wTCH4*$AI8,maxTCH),0)</f>
        <v>61.3536</v>
      </c>
      <c r="R8" s="10">
        <f>(wOLH1+wOLH2*IF($K8="Y",1,0)+wOLH3*$AD8)*$T8 + wRLH*$U8</f>
        <v>130</v>
      </c>
      <c r="S8" s="10">
        <f>wOTH*$V8 + wRTH*$W8</f>
        <v>0</v>
      </c>
      <c r="T8" s="10">
        <f>IF($L8&gt;0,$M8*$AF8,0)</f>
        <v>26</v>
      </c>
      <c r="U8" s="10">
        <f>IF($L8&gt;1,($L8-1)*$M8*$AF8,0)</f>
        <v>0</v>
      </c>
      <c r="V8" s="10">
        <f>IF($N8&gt;0,$O8*$AH8,0)</f>
        <v>0</v>
      </c>
      <c r="W8" s="10">
        <f>IF($N8&gt;1,($N8-1)*$O8*$AH8,0)</f>
        <v>0</v>
      </c>
      <c r="X8" s="12">
        <f>(wAPH1+wAPH2*IF($K8="Y",1,0)+wAPH3*$AJ8)*IF($AE8&gt;0,$M8/$AE8,0)</f>
        <v>70</v>
      </c>
      <c r="Y8" s="33">
        <f>wCMH*MIN($AI8,maxCMH)*IF($AE8&gt;0,$M8/$AE8,1)</f>
        <v>15</v>
      </c>
      <c r="Z8" s="12">
        <f>wCACH1*($T8+$V8) +((1-$AC8)*MIN(wCACH2*$AI8,maxCACH) + $AC8*MIN(wCACH3*$AI8,maxCACH))*IF($AE8&gt;0,$M8/$AE8,1)</f>
        <v>54.89</v>
      </c>
      <c r="AA8" s="12">
        <f>SUM($P8:$Z8)</f>
        <v>412.1336</v>
      </c>
      <c r="AB8" s="10">
        <f>ROUND(AA8/172.5,1)</f>
        <v>2.4</v>
      </c>
      <c r="AC8" s="14">
        <f>IF(VLOOKUP($A8,Courses!$A$2:$P$268,7,FALSE)="Y",1,0)</f>
        <v>1</v>
      </c>
      <c r="AD8" s="14">
        <f>VLOOKUP($A8,Courses!$A$2:$P$268,8,FALSE)</f>
        <v>0</v>
      </c>
      <c r="AE8" s="14">
        <f>VLOOKUP($A8,Courses!$A$2:$P$268,9,FALSE)</f>
        <v>13</v>
      </c>
      <c r="AF8" s="14">
        <f>VLOOKUP($A8,Courses!$A$2:$P$268,10,FALSE)</f>
        <v>2</v>
      </c>
      <c r="AG8" s="14">
        <f>VLOOKUP($A8,Courses!$A$2:$P$268,11,FALSE)</f>
        <v>12</v>
      </c>
      <c r="AH8" s="15">
        <f>VLOOKUP($A8,Courses!$A$2:$P$268,12,FALSE)</f>
        <v>2</v>
      </c>
      <c r="AI8" s="15">
        <f>VLOOKUP($A8,Courses!$A$2:$P$268,13,FALSE)</f>
        <v>642</v>
      </c>
      <c r="AJ8" s="15">
        <f>VLOOKUP($A8,Courses!$A$2:$P$268,14,FALSE)</f>
        <v>0</v>
      </c>
      <c r="AK8" s="15">
        <f>VLOOKUP($A8,Courses!$A$2:$P$268,15,FALSE)</f>
        <v>1</v>
      </c>
      <c r="AL8" s="15">
        <f>VLOOKUP($A8,Courses!$A$2:$P$268,16,FALSE)</f>
        <v>17</v>
      </c>
    </row>
    <row r="9" spans="1:38">
      <c r="A9" s="13" t="str">
        <f>CONCATENATE(D9,H9)</f>
        <v>ECON1020S3</v>
      </c>
      <c r="B9" s="57" t="s">
        <v>807</v>
      </c>
      <c r="D9" s="80" t="s">
        <v>54</v>
      </c>
      <c r="E9" s="13" t="str">
        <f>IF(VLOOKUP($A9,Courses!$A$2:$F$268,3,FALSE)=0,"",VLOOKUP($A9,Courses!$A$2:$F$268,3,FALSE))</f>
        <v/>
      </c>
      <c r="F9" s="13" t="str">
        <f>IF(VLOOKUP($A9,Courses!$A$2:$F$268,4,FALSE)=0,"",VLOOKUP($A9,Courses!$A$2:$F$268,4,FALSE))</f>
        <v/>
      </c>
      <c r="G9" s="13" t="str">
        <f>VLOOKUP($A9,Courses!$A$2:$F$268,5,FALSE)</f>
        <v>Introductory Macroeconomics</v>
      </c>
      <c r="H9" s="70" t="s">
        <v>255</v>
      </c>
      <c r="I9" s="21" t="s">
        <v>252</v>
      </c>
      <c r="L9" s="70">
        <v>1</v>
      </c>
      <c r="M9" s="71">
        <v>12</v>
      </c>
      <c r="N9" s="21"/>
      <c r="P9" s="12">
        <f>IF($I9="Y",(wCCH1+wCCH2*$AJ9)*($AE9*$AF9)+(1-$AC9)*MIN(wCCH3*$AI9,maxCCH) + $AC9*MIN(wCCH4*$AI9,maxCCH),0)</f>
        <v>48.84</v>
      </c>
      <c r="Q9" s="12">
        <f>IF($J9="Y",(wTCH1+wTCH2*IF($K9="Y",1,0))*$AG9*$AH9+(1-$AC9)*MIN(wTCH3*$AI9,maxTCH) + $AC9*MIN(wTCH4*$AI9,maxTCH),0)</f>
        <v>0</v>
      </c>
      <c r="R9" s="10">
        <f>(wOLH1+wOLH2*IF($K9="Y",1,0)+wOLH3*$AD9)*$T9 + wRLH*$U9</f>
        <v>72</v>
      </c>
      <c r="S9" s="10">
        <f>wOTH*$V9 + wRTH*$W9</f>
        <v>0</v>
      </c>
      <c r="T9" s="10">
        <f>IF($L9&gt;0,$M9*$AF9,0)</f>
        <v>24</v>
      </c>
      <c r="U9" s="10">
        <f>IF($L9&gt;1,($L9-1)*$M9*$AF9,0)</f>
        <v>0</v>
      </c>
      <c r="V9" s="10">
        <f>IF($N9&gt;0,$O9*$AH9,0)</f>
        <v>0</v>
      </c>
      <c r="W9" s="10">
        <f>IF($N9&gt;1,($N9-1)*$O9*$AH9,0)</f>
        <v>0</v>
      </c>
      <c r="X9" s="12">
        <f>(wAPH1+wAPH2*IF($K9="Y",1,0)+wAPH3*$AJ9)*IF($AE9&gt;0,$M9/$AE9,0)</f>
        <v>50</v>
      </c>
      <c r="Y9" s="33">
        <f>wCMH*MIN($AI9,maxCMH)*IF($AE9&gt;0,$M9/$AE9,1)</f>
        <v>15</v>
      </c>
      <c r="Z9" s="12">
        <f>wCACH1*($T9+$V9) +((1-$AC9)*MIN(wCACH2*$AI9,maxCACH) + $AC9*MIN(wCACH3*$AI9,maxCACH))*IF($AE9&gt;0,$M9/$AE9,1)</f>
        <v>48.84</v>
      </c>
      <c r="AA9" s="12">
        <f>SUM($P9:$Z9)</f>
        <v>258.68</v>
      </c>
      <c r="AB9" s="10">
        <f>ROUND(AA9/172.5,1)</f>
        <v>1.5</v>
      </c>
      <c r="AC9" s="14">
        <f>IF(VLOOKUP($A9,Courses!$A$2:$P$268,7,FALSE)="Y",1,0)</f>
        <v>0</v>
      </c>
      <c r="AD9" s="14">
        <f>VLOOKUP($A9,Courses!$A$2:$P$268,8,FALSE)</f>
        <v>0</v>
      </c>
      <c r="AE9" s="14">
        <f>VLOOKUP($A9,Courses!$A$2:$P$268,9,FALSE)</f>
        <v>12</v>
      </c>
      <c r="AF9" s="14">
        <f>VLOOKUP($A9,Courses!$A$2:$P$268,10,FALSE)</f>
        <v>2</v>
      </c>
      <c r="AG9" s="14">
        <f>VLOOKUP($A9,Courses!$A$2:$P$268,11,FALSE)</f>
        <v>12</v>
      </c>
      <c r="AH9" s="15">
        <f>VLOOKUP($A9,Courses!$A$2:$P$268,12,FALSE)</f>
        <v>2</v>
      </c>
      <c r="AI9" s="15">
        <f>VLOOKUP($A9,Courses!$A$2:$P$268,13,FALSE)</f>
        <v>184</v>
      </c>
      <c r="AJ9" s="15">
        <f>VLOOKUP($A9,Courses!$A$2:$P$268,14,FALSE)</f>
        <v>0</v>
      </c>
      <c r="AK9" s="15">
        <f>VLOOKUP($A9,Courses!$A$2:$P$268,15,FALSE)</f>
        <v>0</v>
      </c>
      <c r="AL9" s="15">
        <f>VLOOKUP($A9,Courses!$A$2:$P$268,16,FALSE)</f>
        <v>5</v>
      </c>
    </row>
    <row r="10" spans="1:38">
      <c r="A10" s="13" t="str">
        <f>CONCATENATE(D10,H10)</f>
        <v>ECON1050S1</v>
      </c>
      <c r="B10" s="162" t="s">
        <v>168</v>
      </c>
      <c r="D10" s="80" t="s">
        <v>72</v>
      </c>
      <c r="E10" s="13" t="str">
        <f>IF(VLOOKUP($A10,Courses!$A$2:$F$268,3,FALSE)=0,"",VLOOKUP($A10,Courses!$A$2:$F$268,3,FALSE))</f>
        <v/>
      </c>
      <c r="F10" s="13" t="str">
        <f>IF(VLOOKUP($A10,Courses!$A$2:$F$268,4,FALSE)=0,"",VLOOKUP($A10,Courses!$A$2:$F$268,4,FALSE))</f>
        <v/>
      </c>
      <c r="G10" s="13" t="str">
        <f>VLOOKUP($A10,Courses!$A$2:$F$268,5,FALSE)</f>
        <v>Tools of Economic Analysis</v>
      </c>
      <c r="H10" s="70" t="s">
        <v>253</v>
      </c>
      <c r="I10" s="21" t="s">
        <v>252</v>
      </c>
      <c r="J10" s="70" t="s">
        <v>252</v>
      </c>
      <c r="K10" s="70" t="s">
        <v>252</v>
      </c>
      <c r="L10" s="120">
        <v>1</v>
      </c>
      <c r="M10" s="71">
        <v>13</v>
      </c>
      <c r="N10" s="21"/>
      <c r="O10" s="21"/>
      <c r="P10" s="12">
        <f>IF($I10="Y",(wCCH1+wCCH2*$AJ10)*($AE10*$AF10)+(1-$AC10)*MIN(wCCH3*$AI10,maxCCH) + $AC10*MIN(wCCH4*$AI10,maxCCH),0)</f>
        <v>61.910000000000004</v>
      </c>
      <c r="Q10" s="12">
        <f>IF($J10="Y",(wTCH1+wTCH2*IF($K10="Y",1,0))*$AG10*$AH10+(1-$AC10)*MIN(wTCH3*$AI10,maxTCH) + $AC10*MIN(wTCH4*$AI10,maxTCH),0)</f>
        <v>52.625</v>
      </c>
      <c r="R10" s="10">
        <f>(wOLH1+wOLH2*IF($K10="Y",1,0)+wOLH3*$AD10)*$T10 + wRLH*$U10</f>
        <v>130</v>
      </c>
      <c r="S10" s="10">
        <f>wOTH*$V10 + wRTH*$W10</f>
        <v>0</v>
      </c>
      <c r="T10" s="10">
        <f>IF($L10&gt;0,$M10*$AF10,0)</f>
        <v>26</v>
      </c>
      <c r="U10" s="10">
        <f>IF($L10&gt;1,($L10-1)*$M10*$AF10,0)</f>
        <v>0</v>
      </c>
      <c r="V10" s="10">
        <f>IF($N10&gt;0,$O10*$AH10,0)</f>
        <v>0</v>
      </c>
      <c r="W10" s="10">
        <f>IF($N10&gt;1,($N10-1)*$O10*$AH10,0)</f>
        <v>0</v>
      </c>
      <c r="X10" s="12">
        <f>(wAPH1+wAPH2*IF($K10="Y",1,0)+wAPH3*$AJ10)*IF($AE10&gt;0,$M10/$AE10,0)</f>
        <v>70</v>
      </c>
      <c r="Y10" s="33">
        <f>wCMH*MIN($AI10,maxCMH)*IF($AE10&gt;0,$M10/$AE10,1)</f>
        <v>15</v>
      </c>
      <c r="Z10" s="12">
        <f>wCACH1*($T10+$V10) +((1-$AC10)*MIN(wCACH2*$AI10,maxCACH) + $AC10*MIN(wCACH3*$AI10,maxCACH))*IF($AE10&gt;0,$M10/$AE10,1)</f>
        <v>61.910000000000004</v>
      </c>
      <c r="AA10" s="12">
        <f>SUM($P10:$Z10)</f>
        <v>417.44499999999999</v>
      </c>
      <c r="AB10" s="10">
        <f>ROUND(AA10/172.5,1)</f>
        <v>2.4</v>
      </c>
      <c r="AC10" s="14">
        <f>IF(VLOOKUP($A10,Courses!$A$2:$P$268,7,FALSE)="Y",1,0)</f>
        <v>0</v>
      </c>
      <c r="AD10" s="14">
        <f>VLOOKUP($A10,Courses!$A$2:$P$268,8,FALSE)</f>
        <v>0</v>
      </c>
      <c r="AE10" s="14">
        <f>VLOOKUP($A10,Courses!$A$2:$P$268,9,FALSE)</f>
        <v>13</v>
      </c>
      <c r="AF10" s="14">
        <f>VLOOKUP($A10,Courses!$A$2:$P$268,10,FALSE)</f>
        <v>2</v>
      </c>
      <c r="AG10" s="14">
        <f>VLOOKUP($A10,Courses!$A$2:$P$268,11,FALSE)</f>
        <v>12</v>
      </c>
      <c r="AH10" s="15">
        <f>VLOOKUP($A10,Courses!$A$2:$P$268,12,FALSE)</f>
        <v>1.5</v>
      </c>
      <c r="AI10" s="15">
        <f>VLOOKUP($A10,Courses!$A$2:$P$268,13,FALSE)</f>
        <v>266</v>
      </c>
      <c r="AJ10" s="15">
        <f>VLOOKUP($A10,Courses!$A$2:$P$268,14,FALSE)</f>
        <v>0</v>
      </c>
      <c r="AK10" s="15">
        <f>VLOOKUP($A10,Courses!$A$2:$P$268,15,FALSE)</f>
        <v>0</v>
      </c>
      <c r="AL10" s="15">
        <f>VLOOKUP($A10,Courses!$A$2:$P$268,16,FALSE)</f>
        <v>7</v>
      </c>
    </row>
    <row r="11" spans="1:38">
      <c r="A11" s="13" t="str">
        <f>CONCATENATE(D11,H11)</f>
        <v>ECON1050S2</v>
      </c>
      <c r="B11" s="69" t="s">
        <v>201</v>
      </c>
      <c r="C11" s="70">
        <v>2015</v>
      </c>
      <c r="D11" s="80" t="s">
        <v>72</v>
      </c>
      <c r="E11" s="13" t="str">
        <f>IF(VLOOKUP($A11,Courses!$A$2:$F$268,3,FALSE)=0,"",VLOOKUP($A11,Courses!$A$2:$F$268,3,FALSE))</f>
        <v/>
      </c>
      <c r="F11" s="13" t="str">
        <f>IF(VLOOKUP($A11,Courses!$A$2:$F$268,4,FALSE)=0,"",VLOOKUP($A11,Courses!$A$2:$F$268,4,FALSE))</f>
        <v/>
      </c>
      <c r="G11" s="13" t="str">
        <f>VLOOKUP($A11,Courses!$A$2:$F$268,5,FALSE)</f>
        <v>Tools of Economic Analysis</v>
      </c>
      <c r="H11" s="70" t="s">
        <v>254</v>
      </c>
      <c r="I11" s="21" t="s">
        <v>252</v>
      </c>
      <c r="J11" s="70" t="s">
        <v>252</v>
      </c>
      <c r="K11" s="45" t="s">
        <v>252</v>
      </c>
      <c r="L11" s="120">
        <v>1</v>
      </c>
      <c r="M11" s="71">
        <v>13</v>
      </c>
      <c r="N11" s="21"/>
      <c r="O11" s="21"/>
      <c r="P11" s="12">
        <f>IF($I11="Y",(wCCH1+wCCH2*$AJ11)*($AE11*$AF11)+(1-$AC11)*MIN(wCCH3*$AI11,maxCCH) + $AC11*MIN(wCCH4*$AI11,maxCCH),0)</f>
        <v>60.29</v>
      </c>
      <c r="Q11" s="12">
        <f>IF($J11="Y",(wTCH1+wTCH2*IF($K11="Y",1,0))*$AG11*$AH11+(1-$AC11)*MIN(wTCH3*$AI11,maxTCH) + $AC11*MIN(wTCH4*$AI11,maxTCH),0)</f>
        <v>51.875</v>
      </c>
      <c r="R11" s="10">
        <f>(wOLH1+wOLH2*IF($K11="Y",1,0)+wOLH3*$AD11)*$T11 + wRLH*$U11</f>
        <v>130</v>
      </c>
      <c r="S11" s="10">
        <f>wOTH*$V11 + wRTH*$W11</f>
        <v>0</v>
      </c>
      <c r="T11" s="10">
        <f>IF($L11&gt;0,$M11*$AF11,0)</f>
        <v>26</v>
      </c>
      <c r="U11" s="10">
        <f>IF($L11&gt;1,($L11-1)*$M11*$AF11,0)</f>
        <v>0</v>
      </c>
      <c r="V11" s="10">
        <f>IF($N11&gt;0,$O11*$AH11,0)</f>
        <v>0</v>
      </c>
      <c r="W11" s="10">
        <f>IF($N11&gt;1,($N11-1)*$O11*$AH11,0)</f>
        <v>0</v>
      </c>
      <c r="X11" s="12">
        <f>(wAPH1+wAPH2*IF($K11="Y",1,0)+wAPH3*$AJ11)*IF($AE11&gt;0,$M11/$AE11,0)</f>
        <v>70</v>
      </c>
      <c r="Y11" s="33">
        <f>wCMH*MIN($AI11,maxCMH)*IF($AE11&gt;0,$M11/$AE11,1)</f>
        <v>15</v>
      </c>
      <c r="Z11" s="12">
        <f>wCACH1*($T11+$V11) +((1-$AC11)*MIN(wCACH2*$AI11,maxCACH) + $AC11*MIN(wCACH3*$AI11,maxCACH))*IF($AE11&gt;0,$M11/$AE11,1)</f>
        <v>60.29</v>
      </c>
      <c r="AA11" s="12">
        <f>SUM($P11:$Z11)</f>
        <v>413.45499999999998</v>
      </c>
      <c r="AB11" s="10">
        <f>ROUND(AA11/172.5,1)</f>
        <v>2.4</v>
      </c>
      <c r="AC11" s="14">
        <f>IF(VLOOKUP($A11,Courses!$A$2:$P$268,7,FALSE)="Y",1,0)</f>
        <v>0</v>
      </c>
      <c r="AD11" s="14">
        <f>VLOOKUP($A11,Courses!$A$2:$P$268,8,FALSE)</f>
        <v>0</v>
      </c>
      <c r="AE11" s="14">
        <f>VLOOKUP($A11,Courses!$A$2:$P$268,9,FALSE)</f>
        <v>13</v>
      </c>
      <c r="AF11" s="14">
        <f>VLOOKUP($A11,Courses!$A$2:$P$268,10,FALSE)</f>
        <v>2</v>
      </c>
      <c r="AG11" s="14">
        <f>VLOOKUP($A11,Courses!$A$2:$P$268,11,FALSE)</f>
        <v>12</v>
      </c>
      <c r="AH11" s="15">
        <f>VLOOKUP($A11,Courses!$A$2:$P$268,12,FALSE)</f>
        <v>1.5</v>
      </c>
      <c r="AI11" s="15">
        <f>VLOOKUP($A11,Courses!$A$2:$P$268,13,FALSE)</f>
        <v>254</v>
      </c>
      <c r="AJ11" s="15">
        <f>VLOOKUP($A11,Courses!$A$2:$P$268,14,FALSE)</f>
        <v>0</v>
      </c>
      <c r="AK11" s="15">
        <f>VLOOKUP($A11,Courses!$A$2:$P$268,15,FALSE)</f>
        <v>0</v>
      </c>
      <c r="AL11" s="15">
        <f>VLOOKUP($A11,Courses!$A$2:$P$268,16,FALSE)</f>
        <v>7</v>
      </c>
    </row>
    <row r="12" spans="1:38">
      <c r="A12" s="13" t="str">
        <f>CONCATENATE(D12,H12)</f>
        <v>ECON1200S1</v>
      </c>
      <c r="B12" s="69" t="s">
        <v>6</v>
      </c>
      <c r="C12" s="83">
        <v>2020</v>
      </c>
      <c r="D12" s="80" t="s">
        <v>209</v>
      </c>
      <c r="E12" s="13" t="str">
        <f>IF(VLOOKUP($A12,Courses!$A$2:$F$268,3,FALSE)=0,"",VLOOKUP($A12,Courses!$A$2:$F$268,3,FALSE))</f>
        <v/>
      </c>
      <c r="F12" s="13" t="str">
        <f>IF(VLOOKUP($A12,Courses!$A$2:$F$268,4,FALSE)=0,"",VLOOKUP($A12,Courses!$A$2:$F$268,4,FALSE))</f>
        <v/>
      </c>
      <c r="G12" s="13" t="str">
        <f>VLOOKUP($A12,Courses!$A$2:$F$268,5,FALSE)</f>
        <v>Money and Mind</v>
      </c>
      <c r="H12" s="70" t="s">
        <v>253</v>
      </c>
      <c r="I12" s="21" t="s">
        <v>252</v>
      </c>
      <c r="J12" s="128"/>
      <c r="L12" s="120">
        <v>1</v>
      </c>
      <c r="M12" s="71">
        <v>13</v>
      </c>
      <c r="N12" s="21"/>
      <c r="O12" s="21"/>
      <c r="P12" s="12">
        <f>IF($I12="Y",(wCCH1+wCCH2*$AJ12)*($AE12*$AF12)+(1-$AC12)*MIN(wCCH3*$AI12,maxCCH) + $AC12*MIN(wCCH4*$AI12,maxCCH),0)</f>
        <v>34.64</v>
      </c>
      <c r="Q12" s="12">
        <f>IF($J12="Y",(wTCH1+wTCH2*IF($K12="Y",1,0))*$AG12*$AH12+(1-$AC12)*MIN(wTCH3*$AI12,maxTCH) + $AC12*MIN(wTCH4*$AI12,maxTCH),0)</f>
        <v>0</v>
      </c>
      <c r="R12" s="10">
        <f>(wOLH1+wOLH2*IF($K12="Y",1,0)+wOLH3*$AD12)*$T12 + wRLH*$U12</f>
        <v>78</v>
      </c>
      <c r="S12" s="10">
        <f>wOTH*$V12 + wRTH*$W12</f>
        <v>0</v>
      </c>
      <c r="T12" s="10">
        <f>IF($L12&gt;0,$M12*$AF12,0)</f>
        <v>26</v>
      </c>
      <c r="U12" s="10">
        <f>IF($L12&gt;1,($L12-1)*$M12*$AF12,0)</f>
        <v>0</v>
      </c>
      <c r="V12" s="10">
        <f>IF($N12&gt;0,$O12*$AH12,0)</f>
        <v>0</v>
      </c>
      <c r="W12" s="10">
        <f>IF($N12&gt;1,($N12-1)*$O12*$AH12,0)</f>
        <v>0</v>
      </c>
      <c r="X12" s="12">
        <f>(wAPH1+wAPH2*IF($K12="Y",1,0)+wAPH3*$AJ12)*IF($AE12&gt;0,$M12/$AE12,0)</f>
        <v>50</v>
      </c>
      <c r="Y12" s="33">
        <f>wCMH*MIN($AI12,maxCMH)*IF($AE12&gt;0,$M12/$AE12,1)</f>
        <v>15</v>
      </c>
      <c r="Z12" s="12">
        <f>wCACH1*($T12+$V12) +((1-$AC12)*MIN(wCACH2*$AI12,maxCACH) + $AC12*MIN(wCACH3*$AI12,maxCACH))*IF($AE12&gt;0,$M12/$AE12,1)</f>
        <v>34.64</v>
      </c>
      <c r="AA12" s="12">
        <f>SUM($P12:$Z12)</f>
        <v>238.27999999999997</v>
      </c>
      <c r="AB12" s="10">
        <f>ROUND(AA12/172.5,1)</f>
        <v>1.4</v>
      </c>
      <c r="AC12" s="14">
        <f>IF(VLOOKUP($A12,Courses!$A$2:$P$268,7,FALSE)="Y",1,0)</f>
        <v>0</v>
      </c>
      <c r="AD12" s="14">
        <f>VLOOKUP($A12,Courses!$A$2:$P$268,8,FALSE)</f>
        <v>0</v>
      </c>
      <c r="AE12" s="14">
        <f>VLOOKUP($A12,Courses!$A$2:$P$268,9,FALSE)</f>
        <v>13</v>
      </c>
      <c r="AF12" s="14">
        <f>VLOOKUP($A12,Courses!$A$2:$P$268,10,FALSE)</f>
        <v>2</v>
      </c>
      <c r="AG12" s="14">
        <f>VLOOKUP($A12,Courses!$A$2:$P$268,11,FALSE)</f>
        <v>12</v>
      </c>
      <c r="AH12" s="15">
        <f>VLOOKUP($A12,Courses!$A$2:$P$268,12,FALSE)</f>
        <v>1</v>
      </c>
      <c r="AI12" s="15">
        <f>VLOOKUP($A12,Courses!$A$2:$P$268,13,FALSE)</f>
        <v>64</v>
      </c>
      <c r="AJ12" s="15">
        <f>VLOOKUP($A12,Courses!$A$2:$P$268,14,FALSE)</f>
        <v>0</v>
      </c>
      <c r="AK12" s="15">
        <f>VLOOKUP($A12,Courses!$A$2:$P$268,15,FALSE)</f>
        <v>0</v>
      </c>
      <c r="AL12" s="15">
        <f>VLOOKUP($A12,Courses!$A$2:$P$268,16,FALSE)</f>
        <v>2</v>
      </c>
    </row>
    <row r="13" spans="1:38">
      <c r="A13" s="13" t="str">
        <f>CONCATENATE(D13,H13)</f>
        <v>ECON1310S1</v>
      </c>
      <c r="B13" s="69" t="s">
        <v>20</v>
      </c>
      <c r="C13" s="70">
        <v>2020</v>
      </c>
      <c r="D13" s="80" t="s">
        <v>24</v>
      </c>
      <c r="E13" s="13" t="str">
        <f>IF(VLOOKUP($A13,Courses!$A$2:$F$268,3,FALSE)=0,"",VLOOKUP($A13,Courses!$A$2:$F$268,3,FALSE))</f>
        <v/>
      </c>
      <c r="F13" s="13" t="str">
        <f>IF(VLOOKUP($A13,Courses!$A$2:$F$268,4,FALSE)=0,"",VLOOKUP($A13,Courses!$A$2:$F$268,4,FALSE))</f>
        <v/>
      </c>
      <c r="G13" s="13" t="str">
        <f>VLOOKUP($A13,Courses!$A$2:$F$268,5,FALSE)</f>
        <v>Introductory Statistics for Social Sciences</v>
      </c>
      <c r="H13" s="70" t="s">
        <v>253</v>
      </c>
      <c r="I13" s="21" t="s">
        <v>252</v>
      </c>
      <c r="J13" s="70" t="s">
        <v>252</v>
      </c>
      <c r="L13" s="120">
        <v>1</v>
      </c>
      <c r="M13" s="71">
        <v>13</v>
      </c>
      <c r="N13" s="21"/>
      <c r="O13" s="21"/>
      <c r="P13" s="12">
        <f>IF($I13="Y",(wCCH1+wCCH2*$AJ13)*($AE13*$AF13)+(1-$AC13)*MIN(wCCH3*$AI13,maxCCH) + $AC13*MIN(wCCH4*$AI13,maxCCH),0)</f>
        <v>55.07</v>
      </c>
      <c r="Q13" s="12">
        <f>IF($J13="Y",(wTCH1+wTCH2*IF($K13="Y",1,0))*$AG13*$AH13+(1-$AC13)*MIN(wTCH3*$AI13,maxTCH) + $AC13*MIN(wTCH4*$AI13,maxTCH),0)</f>
        <v>31.436799999999998</v>
      </c>
      <c r="R13" s="10">
        <f>(wOLH1+wOLH2*IF($K13="Y",1,0)+wOLH3*$AD13)*$T13 + wRLH*$U13</f>
        <v>78</v>
      </c>
      <c r="S13" s="10">
        <f>wOTH*$V13 + wRTH*$W13</f>
        <v>0</v>
      </c>
      <c r="T13" s="10">
        <f>IF($L13&gt;0,$M13*$AF13,0)</f>
        <v>26</v>
      </c>
      <c r="U13" s="10">
        <f>IF($L13&gt;1,($L13-1)*$M13*$AF13,0)</f>
        <v>0</v>
      </c>
      <c r="V13" s="10">
        <f>IF($N13&gt;0,$O13*$AH13,0)</f>
        <v>0</v>
      </c>
      <c r="W13" s="10">
        <f>IF($N13&gt;1,($N13-1)*$O13*$AH13,0)</f>
        <v>0</v>
      </c>
      <c r="X13" s="12">
        <f>(wAPH1+wAPH2*IF($K13="Y",1,0)+wAPH3*$AJ13)*IF($AE13&gt;0,$M13/$AE13,0)</f>
        <v>50</v>
      </c>
      <c r="Y13" s="33">
        <f>wCMH*MIN($AI13,maxCMH)*IF($AE13&gt;0,$M13/$AE13,1)</f>
        <v>15</v>
      </c>
      <c r="Z13" s="12">
        <f>wCACH1*($T13+$V13) +((1-$AC13)*MIN(wCACH2*$AI13,maxCACH) + $AC13*MIN(wCACH3*$AI13,maxCACH))*IF($AE13&gt;0,$M13/$AE13,1)</f>
        <v>55.07</v>
      </c>
      <c r="AA13" s="12">
        <f>SUM($P13:$Z13)</f>
        <v>310.57679999999999</v>
      </c>
      <c r="AB13" s="10">
        <f>ROUND(AA13/172.5,1)</f>
        <v>1.8</v>
      </c>
      <c r="AC13" s="14">
        <f>IF(VLOOKUP($A13,Courses!$A$2:$P$268,7,FALSE)="Y",1,0)</f>
        <v>1</v>
      </c>
      <c r="AD13" s="14">
        <f>VLOOKUP($A13,Courses!$A$2:$P$268,8,FALSE)</f>
        <v>0</v>
      </c>
      <c r="AE13" s="14">
        <f>VLOOKUP($A13,Courses!$A$2:$P$268,9,FALSE)</f>
        <v>13</v>
      </c>
      <c r="AF13" s="14">
        <f>VLOOKUP($A13,Courses!$A$2:$P$268,10,FALSE)</f>
        <v>2</v>
      </c>
      <c r="AG13" s="14">
        <f>VLOOKUP($A13,Courses!$A$2:$P$268,11,FALSE)</f>
        <v>12</v>
      </c>
      <c r="AH13" s="15">
        <f>VLOOKUP($A13,Courses!$A$2:$P$268,12,FALSE)</f>
        <v>1.5</v>
      </c>
      <c r="AI13" s="15">
        <f>VLOOKUP($A13,Courses!$A$2:$P$268,13,FALSE)</f>
        <v>646</v>
      </c>
      <c r="AJ13" s="15">
        <f>VLOOKUP($A13,Courses!$A$2:$P$268,14,FALSE)</f>
        <v>0</v>
      </c>
      <c r="AK13" s="15">
        <f>VLOOKUP($A13,Courses!$A$2:$P$268,15,FALSE)</f>
        <v>1</v>
      </c>
      <c r="AL13" s="15">
        <f>VLOOKUP($A13,Courses!$A$2:$P$268,16,FALSE)</f>
        <v>17</v>
      </c>
    </row>
    <row r="14" spans="1:38">
      <c r="A14" s="13" t="str">
        <f>CONCATENATE(D14,H14)</f>
        <v>ECON1310S2</v>
      </c>
      <c r="B14" s="69" t="s">
        <v>20</v>
      </c>
      <c r="C14" s="71">
        <v>2020</v>
      </c>
      <c r="D14" s="80" t="s">
        <v>24</v>
      </c>
      <c r="E14" s="13" t="str">
        <f>IF(VLOOKUP($A14,Courses!$A$2:$F$268,3,FALSE)=0,"",VLOOKUP($A14,Courses!$A$2:$F$268,3,FALSE))</f>
        <v/>
      </c>
      <c r="F14" s="13" t="str">
        <f>IF(VLOOKUP($A14,Courses!$A$2:$F$268,4,FALSE)=0,"",VLOOKUP($A14,Courses!$A$2:$F$268,4,FALSE))</f>
        <v/>
      </c>
      <c r="G14" s="13" t="str">
        <f>VLOOKUP($A14,Courses!$A$2:$F$268,5,FALSE)</f>
        <v>Introductory Statistics for Social Sciences</v>
      </c>
      <c r="H14" s="70" t="s">
        <v>254</v>
      </c>
      <c r="I14" s="21" t="s">
        <v>252</v>
      </c>
      <c r="J14" s="70" t="s">
        <v>252</v>
      </c>
      <c r="L14" s="120">
        <v>1</v>
      </c>
      <c r="M14" s="71">
        <v>13</v>
      </c>
      <c r="N14" s="21"/>
      <c r="O14" s="21"/>
      <c r="P14" s="12">
        <f>IF($I14="Y",(wCCH1+wCCH2*$AJ14)*($AE14*$AF14)+(1-$AC14)*MIN(wCCH3*$AI14,maxCCH) + $AC14*MIN(wCCH4*$AI14,maxCCH),0)</f>
        <v>46.07</v>
      </c>
      <c r="Q14" s="12">
        <f>IF($J14="Y",(wTCH1+wTCH2*IF($K14="Y",1,0))*$AG14*$AH14+(1-$AC14)*MIN(wTCH3*$AI14,maxTCH) + $AC14*MIN(wTCH4*$AI14,maxTCH),0)</f>
        <v>27.276800000000001</v>
      </c>
      <c r="R14" s="10">
        <f>(wOLH1+wOLH2*IF($K14="Y",1,0)+wOLH3*$AD14)*$T14 + wRLH*$U14</f>
        <v>78</v>
      </c>
      <c r="S14" s="10">
        <f>wOTH*$V14 + wRTH*$W14</f>
        <v>0</v>
      </c>
      <c r="T14" s="10">
        <f>IF($L14&gt;0,$M14*$AF14,0)</f>
        <v>26</v>
      </c>
      <c r="U14" s="10">
        <f>IF($L14&gt;1,($L14-1)*$M14*$AF14,0)</f>
        <v>0</v>
      </c>
      <c r="V14" s="10">
        <f>IF($N14&gt;0,$O14*$AH14,0)</f>
        <v>0</v>
      </c>
      <c r="W14" s="10">
        <f>IF($N14&gt;1,($N14-1)*$O14*$AH14,0)</f>
        <v>0</v>
      </c>
      <c r="X14" s="12">
        <f>(wAPH1+wAPH2*IF($K14="Y",1,0)+wAPH3*$AJ14)*IF($AE14&gt;0,$M14/$AE14,0)</f>
        <v>50</v>
      </c>
      <c r="Y14" s="33">
        <f>wCMH*MIN($AI14,maxCMH)*IF($AE14&gt;0,$M14/$AE14,1)</f>
        <v>15</v>
      </c>
      <c r="Z14" s="12">
        <f>wCACH1*($T14+$V14) +((1-$AC14)*MIN(wCACH2*$AI14,maxCACH) + $AC14*MIN(wCACH3*$AI14,maxCACH))*IF($AE14&gt;0,$M14/$AE14,1)</f>
        <v>46.07</v>
      </c>
      <c r="AA14" s="12">
        <f>SUM($P14:$Z14)</f>
        <v>288.41680000000002</v>
      </c>
      <c r="AB14" s="10">
        <f>ROUND(AA14/172.5,1)</f>
        <v>1.7</v>
      </c>
      <c r="AC14" s="14">
        <f>IF(VLOOKUP($A14,Courses!$A$2:$P$268,7,FALSE)="Y",1,0)</f>
        <v>1</v>
      </c>
      <c r="AD14" s="14">
        <f>VLOOKUP($A14,Courses!$A$2:$P$268,8,FALSE)</f>
        <v>0</v>
      </c>
      <c r="AE14" s="14">
        <f>VLOOKUP($A14,Courses!$A$2:$P$268,9,FALSE)</f>
        <v>13</v>
      </c>
      <c r="AF14" s="14">
        <f>VLOOKUP($A14,Courses!$A$2:$P$268,10,FALSE)</f>
        <v>2</v>
      </c>
      <c r="AG14" s="14">
        <f>VLOOKUP($A14,Courses!$A$2:$P$268,11,FALSE)</f>
        <v>12</v>
      </c>
      <c r="AH14" s="15">
        <f>VLOOKUP($A14,Courses!$A$2:$P$268,12,FALSE)</f>
        <v>1.5</v>
      </c>
      <c r="AI14" s="15">
        <f>VLOOKUP($A14,Courses!$A$2:$P$268,13,FALSE)</f>
        <v>446</v>
      </c>
      <c r="AJ14" s="15">
        <f>VLOOKUP($A14,Courses!$A$2:$P$268,14,FALSE)</f>
        <v>0</v>
      </c>
      <c r="AK14" s="15">
        <f>VLOOKUP($A14,Courses!$A$2:$P$268,15,FALSE)</f>
        <v>0</v>
      </c>
      <c r="AL14" s="15">
        <f>VLOOKUP($A14,Courses!$A$2:$P$268,16,FALSE)</f>
        <v>12</v>
      </c>
    </row>
    <row r="15" spans="1:38">
      <c r="A15" s="13" t="str">
        <f>CONCATENATE(D15,H15)</f>
        <v>ECON1310S3</v>
      </c>
      <c r="B15" s="57" t="s">
        <v>807</v>
      </c>
      <c r="D15" s="80" t="s">
        <v>24</v>
      </c>
      <c r="E15" s="13" t="str">
        <f>IF(VLOOKUP($A15,Courses!$A$2:$F$268,3,FALSE)=0,"",VLOOKUP($A15,Courses!$A$2:$F$268,3,FALSE))</f>
        <v/>
      </c>
      <c r="F15" s="13" t="str">
        <f>IF(VLOOKUP($A15,Courses!$A$2:$F$268,4,FALSE)=0,"",VLOOKUP($A15,Courses!$A$2:$F$268,4,FALSE))</f>
        <v/>
      </c>
      <c r="G15" s="13" t="str">
        <f>VLOOKUP($A15,Courses!$A$2:$F$268,5,FALSE)</f>
        <v>Quant Econ &amp; Bus Analysis A</v>
      </c>
      <c r="H15" s="70" t="s">
        <v>255</v>
      </c>
      <c r="I15" s="21" t="s">
        <v>252</v>
      </c>
      <c r="K15" s="70" t="s">
        <v>252</v>
      </c>
      <c r="L15" s="70">
        <v>1</v>
      </c>
      <c r="M15" s="71">
        <v>13</v>
      </c>
      <c r="N15" s="21"/>
      <c r="P15" s="12">
        <f>IF($I15="Y",(wCCH1+wCCH2*$AJ15)*($AE15*$AF15)+(1-$AC15)*MIN(wCCH3*$AI15,maxCCH) + $AC15*MIN(wCCH4*$AI15,maxCCH),0)</f>
        <v>40.445</v>
      </c>
      <c r="Q15" s="12">
        <f>IF($J15="Y",(wTCH1+wTCH2*IF($K15="Y",1,0))*$AG15*$AH15+(1-$AC15)*MIN(wTCH3*$AI15,maxTCH) + $AC15*MIN(wTCH4*$AI15,maxTCH),0)</f>
        <v>0</v>
      </c>
      <c r="R15" s="10">
        <f>(wOLH1+wOLH2*IF($K15="Y",1,0)+wOLH3*$AD15)*$T15 + wRLH*$U15</f>
        <v>130</v>
      </c>
      <c r="S15" s="10">
        <f>wOTH*$V15 + wRTH*$W15</f>
        <v>0</v>
      </c>
      <c r="T15" s="10">
        <f>IF($L15&gt;0,$M15*$AF15,0)</f>
        <v>26</v>
      </c>
      <c r="U15" s="10">
        <f>IF($L15&gt;1,($L15-1)*$M15*$AF15,0)</f>
        <v>0</v>
      </c>
      <c r="V15" s="10">
        <f>IF($N15&gt;0,$O15*$AH15,0)</f>
        <v>0</v>
      </c>
      <c r="W15" s="10">
        <f>IF($N15&gt;1,($N15-1)*$O15*$AH15,0)</f>
        <v>0</v>
      </c>
      <c r="X15" s="12">
        <f>(wAPH1+wAPH2*IF($K15="Y",1,0)+wAPH3*$AJ15)*IF($AE15&gt;0,$M15/$AE15,0)</f>
        <v>70</v>
      </c>
      <c r="Y15" s="33">
        <f>wCMH*MIN($AI15,maxCMH)*IF($AE15&gt;0,$M15/$AE15,1)</f>
        <v>15</v>
      </c>
      <c r="Z15" s="12">
        <f>wCACH1*($T15+$V15) +((1-$AC15)*MIN(wCACH2*$AI15,maxCACH) + $AC15*MIN(wCACH3*$AI15,maxCACH))*IF($AE15&gt;0,$M15/$AE15,1)</f>
        <v>40.445</v>
      </c>
      <c r="AA15" s="12">
        <f>SUM($P15:$Z15)</f>
        <v>321.89</v>
      </c>
      <c r="AB15" s="10">
        <f>ROUND(AA15/172.5,1)</f>
        <v>1.9</v>
      </c>
      <c r="AC15" s="14">
        <f>IF(VLOOKUP($A15,Courses!$A$2:$P$268,7,FALSE)="Y",1,0)</f>
        <v>0</v>
      </c>
      <c r="AD15" s="14">
        <f>VLOOKUP($A15,Courses!$A$2:$P$268,8,FALSE)</f>
        <v>0</v>
      </c>
      <c r="AE15" s="14">
        <f>VLOOKUP($A15,Courses!$A$2:$P$268,9,FALSE)</f>
        <v>13</v>
      </c>
      <c r="AF15" s="14">
        <f>VLOOKUP($A15,Courses!$A$2:$P$268,10,FALSE)</f>
        <v>2</v>
      </c>
      <c r="AG15" s="14">
        <f>VLOOKUP($A15,Courses!$A$2:$P$268,11,FALSE)</f>
        <v>12</v>
      </c>
      <c r="AH15" s="15">
        <f>VLOOKUP($A15,Courses!$A$2:$P$268,12,FALSE)</f>
        <v>1.5</v>
      </c>
      <c r="AI15" s="15">
        <f>VLOOKUP($A15,Courses!$A$2:$P$268,13,FALSE)</f>
        <v>107</v>
      </c>
      <c r="AJ15" s="15">
        <f>VLOOKUP($A15,Courses!$A$2:$P$268,14,FALSE)</f>
        <v>0</v>
      </c>
      <c r="AK15" s="15">
        <f>VLOOKUP($A15,Courses!$A$2:$P$268,15,FALSE)</f>
        <v>0</v>
      </c>
      <c r="AL15" s="15">
        <f>VLOOKUP($A15,Courses!$A$2:$P$268,16,FALSE)</f>
        <v>3</v>
      </c>
    </row>
    <row r="16" spans="1:38">
      <c r="A16" s="13" t="str">
        <f>CONCATENATE(D16,H16)</f>
        <v>ECON2010S1</v>
      </c>
      <c r="B16" s="69" t="s">
        <v>12</v>
      </c>
      <c r="C16" s="70">
        <v>2018</v>
      </c>
      <c r="D16" s="80" t="s">
        <v>79</v>
      </c>
      <c r="E16" s="13" t="str">
        <f>IF(VLOOKUP($A16,Courses!$A$2:$F$268,3,FALSE)=0,"",VLOOKUP($A16,Courses!$A$2:$F$268,3,FALSE))</f>
        <v/>
      </c>
      <c r="F16" s="13" t="str">
        <f>IF(VLOOKUP($A16,Courses!$A$2:$F$268,4,FALSE)=0,"",VLOOKUP($A16,Courses!$A$2:$F$268,4,FALSE))</f>
        <v/>
      </c>
      <c r="G16" s="13" t="str">
        <f>VLOOKUP($A16,Courses!$A$2:$F$268,5,FALSE)</f>
        <v>Intermediate Microeconomics</v>
      </c>
      <c r="H16" s="70" t="s">
        <v>253</v>
      </c>
      <c r="I16" s="21" t="s">
        <v>252</v>
      </c>
      <c r="J16" s="70" t="s">
        <v>252</v>
      </c>
      <c r="K16" s="70" t="s">
        <v>252</v>
      </c>
      <c r="L16" s="120">
        <v>1</v>
      </c>
      <c r="M16" s="71">
        <v>13</v>
      </c>
      <c r="N16" s="21"/>
      <c r="O16" s="21"/>
      <c r="P16" s="12">
        <f>IF($I16="Y",(wCCH1+wCCH2*$AJ16)*($AE16*$AF16)+(1-$AC16)*MIN(wCCH3*$AI16,maxCCH) + $AC16*MIN(wCCH4*$AI16,maxCCH),0)</f>
        <v>41.075000000000003</v>
      </c>
      <c r="Q16" s="12">
        <f>IF($J16="Y",(wTCH1+wTCH2*IF($K16="Y",1,0))*$AG16*$AH16+(1-$AC16)*MIN(wTCH3*$AI16,maxTCH) + $AC16*MIN(wTCH4*$AI16,maxTCH),0)</f>
        <v>30.968</v>
      </c>
      <c r="R16" s="10">
        <f>(wOLH1+wOLH2*IF($K16="Y",1,0)+wOLH3*$AD16)*$T16 + wRLH*$U16</f>
        <v>130</v>
      </c>
      <c r="S16" s="10">
        <f>wOTH*$V16 + wRTH*$W16</f>
        <v>0</v>
      </c>
      <c r="T16" s="10">
        <f>IF($L16&gt;0,$M16*$AF16,0)</f>
        <v>26</v>
      </c>
      <c r="U16" s="10">
        <f>IF($L16&gt;1,($L16-1)*$M16*$AF16,0)</f>
        <v>0</v>
      </c>
      <c r="V16" s="10">
        <f>IF($N16&gt;0,$O16*$AH16,0)</f>
        <v>0</v>
      </c>
      <c r="W16" s="10">
        <f>IF($N16&gt;1,($N16-1)*$O16*$AH16,0)</f>
        <v>0</v>
      </c>
      <c r="X16" s="12">
        <f>(wAPH1+wAPH2*IF($K16="Y",1,0)+wAPH3*$AJ16)*IF($AE16&gt;0,$M16/$AE16,0)</f>
        <v>70</v>
      </c>
      <c r="Y16" s="33">
        <f>wCMH*MIN($AI16,maxCMH)*IF($AE16&gt;0,$M16/$AE16,1)</f>
        <v>15</v>
      </c>
      <c r="Z16" s="12">
        <f>wCACH1*($T16+$V16) +((1-$AC16)*MIN(wCACH2*$AI16,maxCACH) + $AC16*MIN(wCACH3*$AI16,maxCACH))*IF($AE16&gt;0,$M16/$AE16,1)</f>
        <v>41.075000000000003</v>
      </c>
      <c r="AA16" s="12">
        <f>SUM($P16:$Z16)</f>
        <v>354.11799999999999</v>
      </c>
      <c r="AB16" s="10">
        <f>ROUND(AA16/172.5,1)</f>
        <v>2.1</v>
      </c>
      <c r="AC16" s="14">
        <f>IF(VLOOKUP($A16,Courses!$A$2:$P$268,7,FALSE)="Y",1,0)</f>
        <v>1</v>
      </c>
      <c r="AD16" s="14">
        <f>VLOOKUP($A16,Courses!$A$2:$P$268,8,FALSE)</f>
        <v>0</v>
      </c>
      <c r="AE16" s="14">
        <f>VLOOKUP($A16,Courses!$A$2:$P$268,9,FALSE)</f>
        <v>13</v>
      </c>
      <c r="AF16" s="14">
        <f>VLOOKUP($A16,Courses!$A$2:$P$268,10,FALSE)</f>
        <v>2</v>
      </c>
      <c r="AG16" s="14">
        <f>VLOOKUP($A16,Courses!$A$2:$P$268,11,FALSE)</f>
        <v>12</v>
      </c>
      <c r="AH16" s="15">
        <f>VLOOKUP($A16,Courses!$A$2:$P$268,12,FALSE)</f>
        <v>1</v>
      </c>
      <c r="AI16" s="15">
        <f>VLOOKUP($A16,Courses!$A$2:$P$268,13,FALSE)</f>
        <v>335</v>
      </c>
      <c r="AJ16" s="15">
        <f>VLOOKUP($A16,Courses!$A$2:$P$268,14,FALSE)</f>
        <v>0</v>
      </c>
      <c r="AK16" s="15">
        <f>VLOOKUP($A16,Courses!$A$2:$P$268,15,FALSE)</f>
        <v>0</v>
      </c>
      <c r="AL16" s="15">
        <f>VLOOKUP($A16,Courses!$A$2:$P$268,16,FALSE)</f>
        <v>9</v>
      </c>
    </row>
    <row r="17" spans="1:38">
      <c r="A17" s="13" t="str">
        <f>CONCATENATE(D17,H17)</f>
        <v>ECON2010S2</v>
      </c>
      <c r="B17" s="69" t="s">
        <v>127</v>
      </c>
      <c r="C17" s="70">
        <v>2020</v>
      </c>
      <c r="D17" s="80" t="s">
        <v>79</v>
      </c>
      <c r="E17" s="13" t="str">
        <f>IF(VLOOKUP($A17,Courses!$A$2:$F$268,3,FALSE)=0,"",VLOOKUP($A17,Courses!$A$2:$F$268,3,FALSE))</f>
        <v/>
      </c>
      <c r="F17" s="13" t="str">
        <f>IF(VLOOKUP($A17,Courses!$A$2:$F$268,4,FALSE)=0,"",VLOOKUP($A17,Courses!$A$2:$F$268,4,FALSE))</f>
        <v/>
      </c>
      <c r="G17" s="13" t="str">
        <f>VLOOKUP($A17,Courses!$A$2:$F$268,5,FALSE)</f>
        <v>Intermediate Microeconomics</v>
      </c>
      <c r="H17" s="70" t="s">
        <v>254</v>
      </c>
      <c r="I17" s="21" t="s">
        <v>252</v>
      </c>
      <c r="J17" s="70" t="s">
        <v>252</v>
      </c>
      <c r="L17" s="120">
        <v>1</v>
      </c>
      <c r="M17" s="71">
        <v>13</v>
      </c>
      <c r="N17" s="21">
        <v>1</v>
      </c>
      <c r="O17" s="21">
        <v>12</v>
      </c>
      <c r="P17" s="12">
        <f>IF($I17="Y",(wCCH1+wCCH2*$AJ17)*($AE17*$AF17)+(1-$AC17)*MIN(wCCH3*$AI17,maxCCH) + $AC17*MIN(wCCH4*$AI17,maxCCH),0)</f>
        <v>44.495000000000005</v>
      </c>
      <c r="Q17" s="12">
        <f>IF($J17="Y",(wTCH1+wTCH2*IF($K17="Y",1,0))*$AG17*$AH17+(1-$AC17)*MIN(wTCH3*$AI17,maxTCH) + $AC17*MIN(wTCH4*$AI17,maxTCH),0)</f>
        <v>20.5625</v>
      </c>
      <c r="R17" s="10">
        <f>(wOLH1+wOLH2*IF($K17="Y",1,0)+wOLH3*$AD17)*$T17 + wRLH*$U17</f>
        <v>78</v>
      </c>
      <c r="S17" s="10">
        <f>wOTH*$V17 + wRTH*$W17</f>
        <v>12</v>
      </c>
      <c r="T17" s="10">
        <f>IF($L17&gt;0,$M17*$AF17,0)</f>
        <v>26</v>
      </c>
      <c r="U17" s="10">
        <f>IF($L17&gt;1,($L17-1)*$M17*$AF17,0)</f>
        <v>0</v>
      </c>
      <c r="V17" s="10">
        <f>IF($N17&gt;0,$O17*$AH17,0)</f>
        <v>12</v>
      </c>
      <c r="W17" s="10">
        <f>IF($N17&gt;1,($N17-1)*$O17*$AH17,0)</f>
        <v>0</v>
      </c>
      <c r="X17" s="12">
        <f>(wAPH1+wAPH2*IF($K17="Y",1,0)+wAPH3*$AJ17)*IF($AE17&gt;0,$M17/$AE17,0)</f>
        <v>50</v>
      </c>
      <c r="Y17" s="33">
        <f>wCMH*MIN($AI17,maxCMH)*IF($AE17&gt;0,$M17/$AE17,1)</f>
        <v>15</v>
      </c>
      <c r="Z17" s="12">
        <f>wCACH1*($T17+$V17) +((1-$AC17)*MIN(wCACH2*$AI17,maxCACH) + $AC17*MIN(wCACH3*$AI17,maxCACH))*IF($AE17&gt;0,$M17/$AE17,1)</f>
        <v>56.495000000000005</v>
      </c>
      <c r="AA17" s="12">
        <f>SUM($P17:$Z17)</f>
        <v>314.55250000000001</v>
      </c>
      <c r="AB17" s="10">
        <f>ROUND(AA17/172.5,1)</f>
        <v>1.8</v>
      </c>
      <c r="AC17" s="14">
        <f>IF(VLOOKUP($A17,Courses!$A$2:$P$268,7,FALSE)="Y",1,0)</f>
        <v>0</v>
      </c>
      <c r="AD17" s="14">
        <f>VLOOKUP($A17,Courses!$A$2:$P$268,8,FALSE)</f>
        <v>0</v>
      </c>
      <c r="AE17" s="14">
        <f>VLOOKUP($A17,Courses!$A$2:$P$268,9,FALSE)</f>
        <v>13</v>
      </c>
      <c r="AF17" s="14">
        <f>VLOOKUP($A17,Courses!$A$2:$P$268,10,FALSE)</f>
        <v>2</v>
      </c>
      <c r="AG17" s="14">
        <f>VLOOKUP($A17,Courses!$A$2:$P$268,11,FALSE)</f>
        <v>12</v>
      </c>
      <c r="AH17" s="15">
        <f>VLOOKUP($A17,Courses!$A$2:$P$268,12,FALSE)</f>
        <v>1</v>
      </c>
      <c r="AI17" s="15">
        <f>VLOOKUP($A17,Courses!$A$2:$P$268,13,FALSE)</f>
        <v>137</v>
      </c>
      <c r="AJ17" s="15">
        <f>VLOOKUP($A17,Courses!$A$2:$P$268,14,FALSE)</f>
        <v>0</v>
      </c>
      <c r="AK17" s="15">
        <f>VLOOKUP($A17,Courses!$A$2:$P$268,15,FALSE)</f>
        <v>0</v>
      </c>
      <c r="AL17" s="15">
        <f>VLOOKUP($A17,Courses!$A$2:$P$268,16,FALSE)</f>
        <v>4</v>
      </c>
    </row>
    <row r="18" spans="1:38">
      <c r="A18" s="13" t="str">
        <f>CONCATENATE(D18,H18)</f>
        <v>ECON2011S1</v>
      </c>
      <c r="B18" s="69" t="s">
        <v>127</v>
      </c>
      <c r="D18" s="80" t="s">
        <v>165</v>
      </c>
      <c r="E18" s="13" t="str">
        <f>IF(VLOOKUP($A18,Courses!$A$2:$F$268,3,FALSE)=0,"",VLOOKUP($A18,Courses!$A$2:$F$268,3,FALSE))</f>
        <v/>
      </c>
      <c r="F18" s="13" t="str">
        <f>IF(VLOOKUP($A18,Courses!$A$2:$F$268,4,FALSE)=0,"",VLOOKUP($A18,Courses!$A$2:$F$268,4,FALSE))</f>
        <v/>
      </c>
      <c r="G18" s="13" t="str">
        <f>VLOOKUP($A18,Courses!$A$2:$F$268,5,FALSE)</f>
        <v>Principles of Microeconomics</v>
      </c>
      <c r="H18" s="70" t="s">
        <v>253</v>
      </c>
      <c r="I18" s="21" t="s">
        <v>252</v>
      </c>
      <c r="J18" s="70" t="s">
        <v>252</v>
      </c>
      <c r="K18" s="70" t="s">
        <v>252</v>
      </c>
      <c r="L18" s="120">
        <v>1</v>
      </c>
      <c r="M18" s="71">
        <v>13</v>
      </c>
      <c r="N18" s="21">
        <v>1</v>
      </c>
      <c r="O18" s="21">
        <v>12</v>
      </c>
      <c r="P18" s="12">
        <f>IF($I18="Y",(wCCH1+wCCH2*$AJ18)*($AE18*$AF18)+(1-$AC18)*MIN(wCCH3*$AI18,maxCCH) + $AC18*MIN(wCCH4*$AI18,maxCCH),0)</f>
        <v>41.120000000000005</v>
      </c>
      <c r="Q18" s="12">
        <f>IF($J18="Y",(wTCH1+wTCH2*IF($K18="Y",1,0))*$AG18*$AH18+(1-$AC18)*MIN(wTCH3*$AI18,maxTCH) + $AC18*MIN(wTCH4*$AI18,maxTCH),0)</f>
        <v>43</v>
      </c>
      <c r="R18" s="10">
        <f>(wOLH1+wOLH2*IF($K18="Y",1,0)+wOLH3*$AD18)*$T18 + wRLH*$U18</f>
        <v>130</v>
      </c>
      <c r="S18" s="10">
        <f>wOTH*$V18 + wRTH*$W18</f>
        <v>18</v>
      </c>
      <c r="T18" s="10">
        <f>IF($L18&gt;0,$M18*$AF18,0)</f>
        <v>26</v>
      </c>
      <c r="U18" s="10">
        <f>IF($L18&gt;1,($L18-1)*$M18*$AF18,0)</f>
        <v>0</v>
      </c>
      <c r="V18" s="10">
        <f>IF($N18&gt;0,$O18*$AH18,0)</f>
        <v>18</v>
      </c>
      <c r="W18" s="10">
        <f>IF($N18&gt;1,($N18-1)*$O18*$AH18,0)</f>
        <v>0</v>
      </c>
      <c r="X18" s="12">
        <f>(wAPH1+wAPH2*IF($K18="Y",1,0)+wAPH3*$AJ18)*IF($AE18&gt;0,$M18/$AE18,0)</f>
        <v>70</v>
      </c>
      <c r="Y18" s="33">
        <f>wCMH*MIN($AI18,maxCMH)*IF($AE18&gt;0,$M18/$AE18,1)</f>
        <v>15</v>
      </c>
      <c r="Z18" s="12">
        <f>wCACH1*($T18+$V18) +((1-$AC18)*MIN(wCACH2*$AI18,maxCACH) + $AC18*MIN(wCACH3*$AI18,maxCACH))*IF($AE18&gt;0,$M18/$AE18,1)</f>
        <v>59.120000000000005</v>
      </c>
      <c r="AA18" s="12">
        <f>SUM($P18:$Z18)</f>
        <v>420.24</v>
      </c>
      <c r="AB18" s="10">
        <f>ROUND(AA18/172.5,1)</f>
        <v>2.4</v>
      </c>
      <c r="AC18" s="14">
        <f>IF(VLOOKUP($A18,Courses!$A$2:$P$268,7,FALSE)="Y",1,0)</f>
        <v>0</v>
      </c>
      <c r="AD18" s="14">
        <f>VLOOKUP($A18,Courses!$A$2:$P$268,8,FALSE)</f>
        <v>0</v>
      </c>
      <c r="AE18" s="14">
        <f>VLOOKUP($A18,Courses!$A$2:$P$268,9,FALSE)</f>
        <v>13</v>
      </c>
      <c r="AF18" s="14">
        <f>VLOOKUP($A18,Courses!$A$2:$P$268,10,FALSE)</f>
        <v>2</v>
      </c>
      <c r="AG18" s="14">
        <f>VLOOKUP($A18,Courses!$A$2:$P$268,11,FALSE)</f>
        <v>12</v>
      </c>
      <c r="AH18" s="15">
        <f>VLOOKUP($A18,Courses!$A$2:$P$268,12,FALSE)</f>
        <v>1.5</v>
      </c>
      <c r="AI18" s="15">
        <f>VLOOKUP($A18,Courses!$A$2:$P$268,13,FALSE)</f>
        <v>112</v>
      </c>
      <c r="AJ18" s="15">
        <f>VLOOKUP($A18,Courses!$A$2:$P$268,14,FALSE)</f>
        <v>0</v>
      </c>
      <c r="AK18" s="15">
        <f>VLOOKUP($A18,Courses!$A$2:$P$268,15,FALSE)</f>
        <v>0</v>
      </c>
      <c r="AL18" s="15">
        <f>VLOOKUP($A18,Courses!$A$2:$P$268,16,FALSE)</f>
        <v>3</v>
      </c>
    </row>
    <row r="19" spans="1:38">
      <c r="A19" s="13" t="str">
        <f>CONCATENATE(D19,H19)</f>
        <v>ECON2012S1</v>
      </c>
      <c r="B19" s="57" t="s">
        <v>133</v>
      </c>
      <c r="C19" s="70">
        <v>2020</v>
      </c>
      <c r="D19" s="80" t="s">
        <v>213</v>
      </c>
      <c r="E19" s="13" t="str">
        <f>IF(VLOOKUP($A19,Courses!$A$2:$F$268,3,FALSE)=0,"",VLOOKUP($A19,Courses!$A$2:$F$268,3,FALSE))</f>
        <v/>
      </c>
      <c r="F19" s="13" t="str">
        <f>IF(VLOOKUP($A19,Courses!$A$2:$F$268,4,FALSE)=0,"",VLOOKUP($A19,Courses!$A$2:$F$268,4,FALSE))</f>
        <v/>
      </c>
      <c r="G19" s="13" t="str">
        <f>VLOOKUP($A19,Courses!$A$2:$F$268,5,FALSE)</f>
        <v>Microeconomics for Business</v>
      </c>
      <c r="H19" s="70" t="s">
        <v>253</v>
      </c>
      <c r="I19" s="21" t="s">
        <v>252</v>
      </c>
      <c r="J19" s="70" t="s">
        <v>252</v>
      </c>
      <c r="L19" s="120">
        <v>1</v>
      </c>
      <c r="M19" s="71">
        <v>13</v>
      </c>
      <c r="N19" s="21"/>
      <c r="O19" s="21"/>
      <c r="P19" s="12">
        <f>IF($I19="Y",(wCCH1+wCCH2*$AJ19)*($AE19*$AF19)+(1-$AC19)*MIN(wCCH3*$AI19,maxCCH) + $AC19*MIN(wCCH4*$AI19,maxCCH),0)</f>
        <v>33.83</v>
      </c>
      <c r="Q19" s="12">
        <f>IF($J19="Y",(wTCH1+wTCH2*IF($K19="Y",1,0))*$AG19*$AH19+(1-$AC19)*MIN(wTCH3*$AI19,maxTCH) + $AC19*MIN(wTCH4*$AI19,maxTCH),0)</f>
        <v>21.625</v>
      </c>
      <c r="R19" s="10">
        <f>(wOLH1+wOLH2*IF($K19="Y",1,0)+wOLH3*$AD19)*$T19 + wRLH*$U19</f>
        <v>78</v>
      </c>
      <c r="S19" s="10">
        <f>wOTH*$V19 + wRTH*$W19</f>
        <v>0</v>
      </c>
      <c r="T19" s="10">
        <f>IF($L19&gt;0,$M19*$AF19,0)</f>
        <v>26</v>
      </c>
      <c r="U19" s="10">
        <f>IF($L19&gt;1,($L19-1)*$M19*$AF19,0)</f>
        <v>0</v>
      </c>
      <c r="V19" s="10">
        <f>IF($N19&gt;0,$O19*$AH19,0)</f>
        <v>0</v>
      </c>
      <c r="W19" s="10">
        <f>IF($N19&gt;1,($N19-1)*$O19*$AH19,0)</f>
        <v>0</v>
      </c>
      <c r="X19" s="12">
        <f>(wAPH1+wAPH2*IF($K19="Y",1,0)+wAPH3*$AJ19)*IF($AE19&gt;0,$M19/$AE19,0)</f>
        <v>50</v>
      </c>
      <c r="Y19" s="33">
        <f>wCMH*MIN($AI19,maxCMH)*IF($AE19&gt;0,$M19/$AE19,1)</f>
        <v>15</v>
      </c>
      <c r="Z19" s="12">
        <f>wCACH1*($T19+$V19) +((1-$AC19)*MIN(wCACH2*$AI19,maxCACH) + $AC19*MIN(wCACH3*$AI19,maxCACH))*IF($AE19&gt;0,$M19/$AE19,1)</f>
        <v>33.83</v>
      </c>
      <c r="AA19" s="12">
        <f>SUM($P19:$Z19)</f>
        <v>258.28499999999997</v>
      </c>
      <c r="AB19" s="10">
        <f>ROUND(AA19/172.5,1)</f>
        <v>1.5</v>
      </c>
      <c r="AC19" s="14">
        <f>IF(VLOOKUP($A19,Courses!$A$2:$P$268,7,FALSE)="Y",1,0)</f>
        <v>0</v>
      </c>
      <c r="AD19" s="14">
        <f>VLOOKUP($A19,Courses!$A$2:$P$268,8,FALSE)</f>
        <v>0</v>
      </c>
      <c r="AE19" s="14">
        <f>VLOOKUP($A19,Courses!$A$2:$P$268,9,FALSE)</f>
        <v>13</v>
      </c>
      <c r="AF19" s="14">
        <f>VLOOKUP($A19,Courses!$A$2:$P$268,10,FALSE)</f>
        <v>2</v>
      </c>
      <c r="AG19" s="14">
        <f>VLOOKUP($A19,Courses!$A$2:$P$268,11,FALSE)</f>
        <v>12</v>
      </c>
      <c r="AH19" s="15">
        <f>VLOOKUP($A19,Courses!$A$2:$P$268,12,FALSE)</f>
        <v>1.5</v>
      </c>
      <c r="AI19" s="15">
        <f>VLOOKUP($A19,Courses!$A$2:$P$268,13,FALSE)</f>
        <v>58</v>
      </c>
      <c r="AJ19" s="15">
        <f>VLOOKUP($A19,Courses!$A$2:$P$268,14,FALSE)</f>
        <v>0</v>
      </c>
      <c r="AK19" s="15">
        <f>VLOOKUP($A19,Courses!$A$2:$P$268,15,FALSE)</f>
        <v>0</v>
      </c>
      <c r="AL19" s="15">
        <f>VLOOKUP($A19,Courses!$A$2:$P$268,16,FALSE)</f>
        <v>2</v>
      </c>
    </row>
    <row r="20" spans="1:38">
      <c r="A20" s="13" t="str">
        <f>CONCATENATE(D20,H20)</f>
        <v>ECON2020S1</v>
      </c>
      <c r="B20" s="69" t="s">
        <v>7</v>
      </c>
      <c r="C20" s="83">
        <v>2020</v>
      </c>
      <c r="D20" s="80" t="s">
        <v>27</v>
      </c>
      <c r="E20" s="13" t="str">
        <f>IF(VLOOKUP($A20,Courses!$A$2:$F$268,3,FALSE)=0,"",VLOOKUP($A20,Courses!$A$2:$F$268,3,FALSE))</f>
        <v/>
      </c>
      <c r="F20" s="13" t="str">
        <f>IF(VLOOKUP($A20,Courses!$A$2:$F$268,4,FALSE)=0,"",VLOOKUP($A20,Courses!$A$2:$F$268,4,FALSE))</f>
        <v/>
      </c>
      <c r="G20" s="13" t="str">
        <f>VLOOKUP($A20,Courses!$A$2:$F$268,5,FALSE)</f>
        <v>Intermediate Macroeconomics</v>
      </c>
      <c r="H20" s="70" t="s">
        <v>253</v>
      </c>
      <c r="I20" s="21" t="s">
        <v>252</v>
      </c>
      <c r="J20" s="131" t="s">
        <v>252</v>
      </c>
      <c r="K20" s="63"/>
      <c r="L20" s="120">
        <v>1</v>
      </c>
      <c r="M20" s="71">
        <v>13</v>
      </c>
      <c r="N20" s="21"/>
      <c r="O20" s="21"/>
      <c r="P20" s="12">
        <f>IF($I20="Y",(wCCH1+wCCH2*$AJ20)*($AE20*$AF20)+(1-$AC20)*MIN(wCCH3*$AI20,maxCCH) + $AC20*MIN(wCCH4*$AI20,maxCCH),0)</f>
        <v>41.344999999999999</v>
      </c>
      <c r="Q20" s="12">
        <f>IF($J20="Y",(wTCH1+wTCH2*IF($K20="Y",1,0))*$AG20*$AH20+(1-$AC20)*MIN(wTCH3*$AI20,maxTCH) + $AC20*MIN(wTCH4*$AI20,maxTCH),0)</f>
        <v>19.0928</v>
      </c>
      <c r="R20" s="10">
        <f>(wOLH1+wOLH2*IF($K20="Y",1,0)+wOLH3*$AD20)*$T20 + wRLH*$U20</f>
        <v>78</v>
      </c>
      <c r="S20" s="10">
        <f>wOTH*$V20 + wRTH*$W20</f>
        <v>0</v>
      </c>
      <c r="T20" s="10">
        <f>IF($L20&gt;0,$M20*$AF20,0)</f>
        <v>26</v>
      </c>
      <c r="U20" s="10">
        <f>IF($L20&gt;1,($L20-1)*$M20*$AF20,0)</f>
        <v>0</v>
      </c>
      <c r="V20" s="10">
        <f>IF($N20&gt;0,$O20*$AH20,0)</f>
        <v>0</v>
      </c>
      <c r="W20" s="10">
        <f>IF($N20&gt;1,($N20-1)*$O20*$AH20,0)</f>
        <v>0</v>
      </c>
      <c r="X20" s="12">
        <f>(wAPH1+wAPH2*IF($K20="Y",1,0)+wAPH3*$AJ20)*IF($AE20&gt;0,$M20/$AE20,0)</f>
        <v>50</v>
      </c>
      <c r="Y20" s="33">
        <f>wCMH*MIN($AI20,maxCMH)*IF($AE20&gt;0,$M20/$AE20,1)</f>
        <v>15</v>
      </c>
      <c r="Z20" s="12">
        <f>wCACH1*($T20+$V20) +((1-$AC20)*MIN(wCACH2*$AI20,maxCACH) + $AC20*MIN(wCACH3*$AI20,maxCACH))*IF($AE20&gt;0,$M20/$AE20,1)</f>
        <v>41.344999999999999</v>
      </c>
      <c r="AA20" s="12">
        <f>SUM($P20:$Z20)</f>
        <v>270.78279999999995</v>
      </c>
      <c r="AB20" s="10">
        <f>ROUND(AA20/172.5,1)</f>
        <v>1.6</v>
      </c>
      <c r="AC20" s="14">
        <f>IF(VLOOKUP($A20,Courses!$A$2:$P$268,7,FALSE)="Y",1,0)</f>
        <v>1</v>
      </c>
      <c r="AD20" s="14">
        <f>VLOOKUP($A20,Courses!$A$2:$P$268,8,FALSE)</f>
        <v>0</v>
      </c>
      <c r="AE20" s="14">
        <f>VLOOKUP($A20,Courses!$A$2:$P$268,9,FALSE)</f>
        <v>13</v>
      </c>
      <c r="AF20" s="14">
        <f>VLOOKUP($A20,Courses!$A$2:$P$268,10,FALSE)</f>
        <v>2</v>
      </c>
      <c r="AG20" s="14">
        <f>VLOOKUP($A20,Courses!$A$2:$P$268,11,FALSE)</f>
        <v>12</v>
      </c>
      <c r="AH20" s="15">
        <f>VLOOKUP($A20,Courses!$A$2:$P$268,12,FALSE)</f>
        <v>1</v>
      </c>
      <c r="AI20" s="15">
        <f>VLOOKUP($A20,Courses!$A$2:$P$268,13,FALSE)</f>
        <v>341</v>
      </c>
      <c r="AJ20" s="15">
        <f>VLOOKUP($A20,Courses!$A$2:$P$268,14,FALSE)</f>
        <v>0</v>
      </c>
      <c r="AK20" s="15">
        <f>VLOOKUP($A20,Courses!$A$2:$P$268,15,FALSE)</f>
        <v>0</v>
      </c>
      <c r="AL20" s="15">
        <f>VLOOKUP($A20,Courses!$A$2:$P$268,16,FALSE)</f>
        <v>9</v>
      </c>
    </row>
    <row r="21" spans="1:38">
      <c r="A21" s="13" t="str">
        <f>CONCATENATE(D21,H21)</f>
        <v>ECON2020S2</v>
      </c>
      <c r="B21" s="57" t="s">
        <v>807</v>
      </c>
      <c r="C21" s="83"/>
      <c r="D21" s="80" t="s">
        <v>27</v>
      </c>
      <c r="E21" s="13" t="str">
        <f>IF(VLOOKUP($A21,Courses!$A$2:$F$268,3,FALSE)=0,"",VLOOKUP($A21,Courses!$A$2:$F$268,3,FALSE))</f>
        <v/>
      </c>
      <c r="F21" s="13" t="str">
        <f>IF(VLOOKUP($A21,Courses!$A$2:$F$268,4,FALSE)=0,"",VLOOKUP($A21,Courses!$A$2:$F$268,4,FALSE))</f>
        <v/>
      </c>
      <c r="G21" s="13" t="str">
        <f>VLOOKUP($A21,Courses!$A$2:$F$268,5,FALSE)</f>
        <v>Intermediate Macroeconomics</v>
      </c>
      <c r="H21" s="70" t="s">
        <v>254</v>
      </c>
      <c r="I21" s="21" t="s">
        <v>252</v>
      </c>
      <c r="J21" s="70" t="s">
        <v>252</v>
      </c>
      <c r="L21" s="120">
        <v>1</v>
      </c>
      <c r="M21" s="71">
        <v>13</v>
      </c>
      <c r="N21" s="21"/>
      <c r="O21" s="21"/>
      <c r="P21" s="12">
        <f>IF($I21="Y",(wCCH1+wCCH2*$AJ21)*($AE21*$AF21)+(1-$AC21)*MIN(wCCH3*$AI21,maxCCH) + $AC21*MIN(wCCH4*$AI21,maxCCH),0)</f>
        <v>53.27</v>
      </c>
      <c r="Q21" s="12">
        <f>IF($J21="Y",(wTCH1+wTCH2*IF($K21="Y",1,0))*$AG21*$AH21+(1-$AC21)*MIN(wTCH3*$AI21,maxTCH) + $AC21*MIN(wTCH4*$AI21,maxTCH),0)</f>
        <v>24.625</v>
      </c>
      <c r="R21" s="10">
        <f>(wOLH1+wOLH2*IF($K21="Y",1,0)+wOLH3*$AD21)*$T21 + wRLH*$U21</f>
        <v>78</v>
      </c>
      <c r="S21" s="10">
        <f>wOTH*$V21 + wRTH*$W21</f>
        <v>0</v>
      </c>
      <c r="T21" s="10">
        <f>IF($L21&gt;0,$M21*$AF21,0)</f>
        <v>26</v>
      </c>
      <c r="U21" s="10">
        <f>IF($L21&gt;1,($L21-1)*$M21*$AF21,0)</f>
        <v>0</v>
      </c>
      <c r="V21" s="10">
        <f>IF($N21&gt;0,$O21*$AH21,0)</f>
        <v>0</v>
      </c>
      <c r="W21" s="10">
        <f>IF($N21&gt;1,($N21-1)*$O21*$AH21,0)</f>
        <v>0</v>
      </c>
      <c r="X21" s="12">
        <f>(wAPH1+wAPH2*IF($K21="Y",1,0)+wAPH3*$AJ21)*IF($AE21&gt;0,$M21/$AE21,0)</f>
        <v>50</v>
      </c>
      <c r="Y21" s="33">
        <f>wCMH*MIN($AI21,maxCMH)*IF($AE21&gt;0,$M21/$AE21,1)</f>
        <v>15</v>
      </c>
      <c r="Z21" s="12">
        <f>wCACH1*($T21+$V21) +((1-$AC21)*MIN(wCACH2*$AI21,maxCACH) + $AC21*MIN(wCACH3*$AI21,maxCACH))*IF($AE21&gt;0,$M21/$AE21,1)</f>
        <v>53.27</v>
      </c>
      <c r="AA21" s="12">
        <f>SUM($P21:$Z21)</f>
        <v>300.16500000000002</v>
      </c>
      <c r="AB21" s="10">
        <f>ROUND(AA21/172.5,1)</f>
        <v>1.7</v>
      </c>
      <c r="AC21" s="14">
        <f>IF(VLOOKUP($A21,Courses!$A$2:$P$268,7,FALSE)="Y",1,0)</f>
        <v>0</v>
      </c>
      <c r="AD21" s="14">
        <f>VLOOKUP($A21,Courses!$A$2:$P$268,8,FALSE)</f>
        <v>0</v>
      </c>
      <c r="AE21" s="14">
        <f>VLOOKUP($A21,Courses!$A$2:$P$268,9,FALSE)</f>
        <v>13</v>
      </c>
      <c r="AF21" s="14">
        <f>VLOOKUP($A21,Courses!$A$2:$P$268,10,FALSE)</f>
        <v>2</v>
      </c>
      <c r="AG21" s="14">
        <f>VLOOKUP($A21,Courses!$A$2:$P$268,11,FALSE)</f>
        <v>12</v>
      </c>
      <c r="AH21" s="15">
        <f>VLOOKUP($A21,Courses!$A$2:$P$268,12,FALSE)</f>
        <v>1</v>
      </c>
      <c r="AI21" s="15">
        <f>VLOOKUP($A21,Courses!$A$2:$P$268,13,FALSE)</f>
        <v>202</v>
      </c>
      <c r="AJ21" s="15">
        <f>VLOOKUP($A21,Courses!$A$2:$P$268,14,FALSE)</f>
        <v>0</v>
      </c>
      <c r="AK21" s="15">
        <f>VLOOKUP($A21,Courses!$A$2:$P$268,15,FALSE)</f>
        <v>0</v>
      </c>
      <c r="AL21" s="15">
        <f>VLOOKUP($A21,Courses!$A$2:$P$268,16,FALSE)</f>
        <v>6</v>
      </c>
    </row>
    <row r="22" spans="1:38" ht="15.75" customHeight="1">
      <c r="A22" s="13" t="str">
        <f>CONCATENATE(D22,H22)</f>
        <v>ECON2021S1</v>
      </c>
      <c r="B22" s="69" t="s">
        <v>126</v>
      </c>
      <c r="C22" s="70">
        <v>2020</v>
      </c>
      <c r="D22" s="80" t="s">
        <v>215</v>
      </c>
      <c r="E22" s="13" t="str">
        <f>IF(VLOOKUP($A22,Courses!$A$2:$F$268,3,FALSE)=0,"",VLOOKUP($A22,Courses!$A$2:$F$268,3,FALSE))</f>
        <v/>
      </c>
      <c r="F22" s="13" t="str">
        <f>IF(VLOOKUP($A22,Courses!$A$2:$F$268,4,FALSE)=0,"",VLOOKUP($A22,Courses!$A$2:$F$268,4,FALSE))</f>
        <v/>
      </c>
      <c r="G22" s="13" t="str">
        <f>VLOOKUP($A22,Courses!$A$2:$F$268,5,FALSE)</f>
        <v>Principles of Macroeconomics</v>
      </c>
      <c r="H22" s="70" t="s">
        <v>253</v>
      </c>
      <c r="I22" s="21" t="s">
        <v>252</v>
      </c>
      <c r="J22" s="70" t="s">
        <v>252</v>
      </c>
      <c r="L22" s="120">
        <v>1</v>
      </c>
      <c r="M22" s="71">
        <v>13</v>
      </c>
      <c r="N22" s="21"/>
      <c r="O22" s="21"/>
      <c r="P22" s="12">
        <f>IF($I22="Y",(wCCH1+wCCH2*$AJ22)*($AE22*$AF22)+(1-$AC22)*MIN(wCCH3*$AI22,maxCCH) + $AC22*MIN(wCCH4*$AI22,maxCCH),0)</f>
        <v>38.42</v>
      </c>
      <c r="Q22" s="12">
        <f>IF($J22="Y",(wTCH1+wTCH2*IF($K22="Y",1,0))*$AG22*$AH22+(1-$AC22)*MIN(wTCH3*$AI22,maxTCH) + $AC22*MIN(wTCH4*$AI22,maxTCH),0)</f>
        <v>17.75</v>
      </c>
      <c r="R22" s="10">
        <f>(wOLH1+wOLH2*IF($K22="Y",1,0)+wOLH3*$AD22)*$T22 + wRLH*$U22</f>
        <v>78</v>
      </c>
      <c r="S22" s="10">
        <f>wOTH*$V22 + wRTH*$W22</f>
        <v>0</v>
      </c>
      <c r="T22" s="10">
        <f>IF($L22&gt;0,$M22*$AF22,0)</f>
        <v>26</v>
      </c>
      <c r="U22" s="10">
        <f>IF($L22&gt;1,($L22-1)*$M22*$AF22,0)</f>
        <v>0</v>
      </c>
      <c r="V22" s="10">
        <f>IF($N22&gt;0,$O22*$AH22,0)</f>
        <v>0</v>
      </c>
      <c r="W22" s="10">
        <f>IF($N22&gt;1,($N22-1)*$O22*$AH22,0)</f>
        <v>0</v>
      </c>
      <c r="X22" s="12">
        <f>(wAPH1+wAPH2*IF($K22="Y",1,0)+wAPH3*$AJ22)*IF($AE22&gt;0,$M22/$AE22,0)</f>
        <v>50</v>
      </c>
      <c r="Y22" s="33">
        <f>wCMH*MIN($AI22,maxCMH)*IF($AE22&gt;0,$M22/$AE22,1)</f>
        <v>15</v>
      </c>
      <c r="Z22" s="12">
        <f>wCACH1*($T22+$V22) +((1-$AC22)*MIN(wCACH2*$AI22,maxCACH) + $AC22*MIN(wCACH3*$AI22,maxCACH))*IF($AE22&gt;0,$M22/$AE22,1)</f>
        <v>38.42</v>
      </c>
      <c r="AA22" s="12">
        <f>SUM($P22:$Z22)</f>
        <v>263.59000000000003</v>
      </c>
      <c r="AB22" s="10">
        <f>ROUND(AA22/172.5,1)</f>
        <v>1.5</v>
      </c>
      <c r="AC22" s="14">
        <f>IF(VLOOKUP($A22,Courses!$A$2:$P$268,7,FALSE)="Y",1,0)</f>
        <v>0</v>
      </c>
      <c r="AD22" s="14">
        <f>VLOOKUP($A22,Courses!$A$2:$P$268,8,FALSE)</f>
        <v>0</v>
      </c>
      <c r="AE22" s="14">
        <f>VLOOKUP($A22,Courses!$A$2:$P$268,9,FALSE)</f>
        <v>13</v>
      </c>
      <c r="AF22" s="14">
        <f>VLOOKUP($A22,Courses!$A$2:$P$268,10,FALSE)</f>
        <v>2</v>
      </c>
      <c r="AG22" s="14">
        <f>VLOOKUP($A22,Courses!$A$2:$P$268,11,FALSE)</f>
        <v>12</v>
      </c>
      <c r="AH22" s="15">
        <f>VLOOKUP($A22,Courses!$A$2:$P$268,12,FALSE)</f>
        <v>1</v>
      </c>
      <c r="AI22" s="15">
        <f>VLOOKUP($A22,Courses!$A$2:$P$268,13,FALSE)</f>
        <v>92</v>
      </c>
      <c r="AJ22" s="15">
        <f>VLOOKUP($A22,Courses!$A$2:$P$268,14,FALSE)</f>
        <v>0</v>
      </c>
      <c r="AK22" s="15">
        <f>VLOOKUP($A22,Courses!$A$2:$P$268,15,FALSE)</f>
        <v>0</v>
      </c>
      <c r="AL22" s="15">
        <f>VLOOKUP($A22,Courses!$A$2:$P$268,16,FALSE)</f>
        <v>3</v>
      </c>
    </row>
    <row r="23" spans="1:38">
      <c r="A23" s="13" t="str">
        <f>CONCATENATE(D23,H23)</f>
        <v>ECON2022S2</v>
      </c>
      <c r="B23" s="57" t="s">
        <v>126</v>
      </c>
      <c r="C23" s="83">
        <v>2020</v>
      </c>
      <c r="D23" s="80" t="s">
        <v>233</v>
      </c>
      <c r="E23" s="13" t="str">
        <f>IF(VLOOKUP($A23,Courses!$A$2:$F$268,3,FALSE)=0,"",VLOOKUP($A23,Courses!$A$2:$F$268,3,FALSE))</f>
        <v/>
      </c>
      <c r="F23" s="13" t="str">
        <f>IF(VLOOKUP($A23,Courses!$A$2:$F$268,4,FALSE)=0,"",VLOOKUP($A23,Courses!$A$2:$F$268,4,FALSE))</f>
        <v/>
      </c>
      <c r="G23" s="13" t="str">
        <f>VLOOKUP($A23,Courses!$A$2:$F$268,5,FALSE)</f>
        <v>Macroeconomics for Business</v>
      </c>
      <c r="H23" s="70" t="s">
        <v>254</v>
      </c>
      <c r="I23" s="21" t="s">
        <v>252</v>
      </c>
      <c r="J23" s="70" t="s">
        <v>252</v>
      </c>
      <c r="L23" s="120">
        <v>1</v>
      </c>
      <c r="M23" s="71">
        <v>13</v>
      </c>
      <c r="N23" s="21"/>
      <c r="O23" s="21"/>
      <c r="P23" s="12">
        <f>IF($I23="Y",(wCCH1+wCCH2*$AJ23)*($AE23*$AF23)+(1-$AC23)*MIN(wCCH3*$AI23,maxCCH) + $AC23*MIN(wCCH4*$AI23,maxCCH),0)</f>
        <v>33.965000000000003</v>
      </c>
      <c r="Q23" s="12">
        <f>IF($J23="Y",(wTCH1+wTCH2*IF($K23="Y",1,0))*$AG23*$AH23+(1-$AC23)*MIN(wTCH3*$AI23,maxTCH) + $AC23*MIN(wTCH4*$AI23,maxTCH),0)</f>
        <v>15.6875</v>
      </c>
      <c r="R23" s="10">
        <f>(wOLH1+wOLH2*IF($K23="Y",1,0)+wOLH3*$AD23)*$T23 + wRLH*$U23</f>
        <v>78</v>
      </c>
      <c r="S23" s="10">
        <f>wOTH*$V23 + wRTH*$W23</f>
        <v>0</v>
      </c>
      <c r="T23" s="10">
        <f>IF($L23&gt;0,$M23*$AF23,0)</f>
        <v>26</v>
      </c>
      <c r="U23" s="10">
        <f>IF($L23&gt;1,($L23-1)*$M23*$AF23,0)</f>
        <v>0</v>
      </c>
      <c r="V23" s="10">
        <f>IF($N23&gt;0,$O23*$AH23,0)</f>
        <v>0</v>
      </c>
      <c r="W23" s="10">
        <f>IF($N23&gt;1,($N23-1)*$O23*$AH23,0)</f>
        <v>0</v>
      </c>
      <c r="X23" s="12">
        <f>(wAPH1+wAPH2*IF($K23="Y",1,0)+wAPH3*$AJ23)*IF($AE23&gt;0,$M23/$AE23,0)</f>
        <v>50</v>
      </c>
      <c r="Y23" s="33">
        <f>wCMH*MIN($AI23,maxCMH)*IF($AE23&gt;0,$M23/$AE23,1)</f>
        <v>15</v>
      </c>
      <c r="Z23" s="12">
        <f>wCACH1*($T23+$V23) +((1-$AC23)*MIN(wCACH2*$AI23,maxCACH) + $AC23*MIN(wCACH3*$AI23,maxCACH))*IF($AE23&gt;0,$M23/$AE23,1)</f>
        <v>33.965000000000003</v>
      </c>
      <c r="AA23" s="12">
        <f>SUM($P23:$Z23)</f>
        <v>252.61750000000001</v>
      </c>
      <c r="AB23" s="10">
        <f>ROUND(AA23/172.5,1)</f>
        <v>1.5</v>
      </c>
      <c r="AC23" s="14">
        <f>IF(VLOOKUP($A23,Courses!$A$2:$P$268,7,FALSE)="Y",1,0)</f>
        <v>0</v>
      </c>
      <c r="AD23" s="14">
        <f>VLOOKUP($A23,Courses!$A$2:$P$268,8,FALSE)</f>
        <v>0</v>
      </c>
      <c r="AE23" s="14">
        <f>VLOOKUP($A23,Courses!$A$2:$P$268,9,FALSE)</f>
        <v>13</v>
      </c>
      <c r="AF23" s="14">
        <f>VLOOKUP($A23,Courses!$A$2:$P$268,10,FALSE)</f>
        <v>2</v>
      </c>
      <c r="AG23" s="14">
        <f>VLOOKUP($A23,Courses!$A$2:$P$268,11,FALSE)</f>
        <v>12</v>
      </c>
      <c r="AH23" s="15">
        <f>VLOOKUP($A23,Courses!$A$2:$P$268,12,FALSE)</f>
        <v>1</v>
      </c>
      <c r="AI23" s="15">
        <f>VLOOKUP($A23,Courses!$A$2:$P$268,13,FALSE)</f>
        <v>59</v>
      </c>
      <c r="AJ23" s="15">
        <f>VLOOKUP($A23,Courses!$A$2:$P$268,14,FALSE)</f>
        <v>0</v>
      </c>
      <c r="AK23" s="15">
        <f>VLOOKUP($A23,Courses!$A$2:$P$268,15,FALSE)</f>
        <v>0</v>
      </c>
      <c r="AL23" s="15">
        <f>VLOOKUP($A23,Courses!$A$2:$P$268,16,FALSE)</f>
        <v>2</v>
      </c>
    </row>
    <row r="24" spans="1:38">
      <c r="A24" s="13" t="str">
        <f>CONCATENATE(D24,H24)</f>
        <v>ECON2030S2</v>
      </c>
      <c r="B24" s="69" t="s">
        <v>131</v>
      </c>
      <c r="C24" s="70">
        <v>2020</v>
      </c>
      <c r="D24" s="80" t="s">
        <v>63</v>
      </c>
      <c r="E24" s="13" t="str">
        <f>IF(VLOOKUP($A24,Courses!$A$2:$F$268,3,FALSE)=0,"",VLOOKUP($A24,Courses!$A$2:$F$268,3,FALSE))</f>
        <v/>
      </c>
      <c r="F24" s="13" t="str">
        <f>IF(VLOOKUP($A24,Courses!$A$2:$F$268,4,FALSE)=0,"",VLOOKUP($A24,Courses!$A$2:$F$268,4,FALSE))</f>
        <v/>
      </c>
      <c r="G24" s="13" t="str">
        <f>VLOOKUP($A24,Courses!$A$2:$F$268,5,FALSE)</f>
        <v>Microeconomic Policy</v>
      </c>
      <c r="H24" s="70" t="s">
        <v>254</v>
      </c>
      <c r="I24" s="21" t="s">
        <v>252</v>
      </c>
      <c r="J24" s="70" t="s">
        <v>252</v>
      </c>
      <c r="L24" s="120">
        <v>1</v>
      </c>
      <c r="M24" s="71">
        <v>13</v>
      </c>
      <c r="N24" s="21">
        <v>2</v>
      </c>
      <c r="O24" s="21">
        <v>12</v>
      </c>
      <c r="P24" s="12">
        <f>IF($I24="Y",(wCCH1+wCCH2*$AJ24)*($AE24*$AF24)+(1-$AC24)*MIN(wCCH3*$AI24,maxCCH) + $AC24*MIN(wCCH4*$AI24,maxCCH),0)</f>
        <v>44.54</v>
      </c>
      <c r="Q24" s="12">
        <f>IF($J24="Y",(wTCH1+wTCH2*IF($K24="Y",1,0))*$AG24*$AH24+(1-$AC24)*MIN(wTCH3*$AI24,maxTCH) + $AC24*MIN(wTCH4*$AI24,maxTCH),0)</f>
        <v>20.569600000000001</v>
      </c>
      <c r="R24" s="10">
        <f>(wOLH1+wOLH2*IF($K24="Y",1,0)+wOLH3*$AD24)*$T24 + wRLH*$U24</f>
        <v>78</v>
      </c>
      <c r="S24" s="10">
        <f>wOTH*$V24 + wRTH*$W24</f>
        <v>12</v>
      </c>
      <c r="T24" s="10">
        <f>IF($L24&gt;0,$M24*$AF24,0)</f>
        <v>26</v>
      </c>
      <c r="U24" s="10">
        <f>IF($L24&gt;1,($L24-1)*$M24*$AF24,0)</f>
        <v>0</v>
      </c>
      <c r="V24" s="10">
        <f>IF($N24&gt;0,$O24*$AH24,0)</f>
        <v>12</v>
      </c>
      <c r="W24" s="10">
        <f>IF($N24&gt;1,($N24-1)*$O24*$AH24,0)</f>
        <v>12</v>
      </c>
      <c r="X24" s="12">
        <f>(wAPH1+wAPH2*IF($K24="Y",1,0)+wAPH3*$AJ24)*IF($AE24&gt;0,$M24/$AE24,0)</f>
        <v>50</v>
      </c>
      <c r="Y24" s="33">
        <f>wCMH*MIN($AI24,maxCMH)*IF($AE24&gt;0,$M24/$AE24,1)</f>
        <v>15</v>
      </c>
      <c r="Z24" s="12">
        <f>wCACH1*($T24+$V24) +((1-$AC24)*MIN(wCACH2*$AI24,maxCACH) + $AC24*MIN(wCACH3*$AI24,maxCACH))*IF($AE24&gt;0,$M24/$AE24,1)</f>
        <v>56.54</v>
      </c>
      <c r="AA24" s="12">
        <f>SUM($P24:$Z24)</f>
        <v>326.64960000000002</v>
      </c>
      <c r="AB24" s="10">
        <f>ROUND(AA24/172.5,1)</f>
        <v>1.9</v>
      </c>
      <c r="AC24" s="14">
        <f>IF(VLOOKUP($A24,Courses!$A$2:$P$268,7,FALSE)="Y",1,0)</f>
        <v>1</v>
      </c>
      <c r="AD24" s="14">
        <f>VLOOKUP($A24,Courses!$A$2:$P$268,8,FALSE)</f>
        <v>0</v>
      </c>
      <c r="AE24" s="14">
        <f>VLOOKUP($A24,Courses!$A$2:$P$268,9,FALSE)</f>
        <v>13</v>
      </c>
      <c r="AF24" s="14">
        <f>VLOOKUP($A24,Courses!$A$2:$P$268,10,FALSE)</f>
        <v>2</v>
      </c>
      <c r="AG24" s="14">
        <f>VLOOKUP($A24,Courses!$A$2:$P$268,11,FALSE)</f>
        <v>12</v>
      </c>
      <c r="AH24" s="15">
        <f>VLOOKUP($A24,Courses!$A$2:$P$268,12,FALSE)</f>
        <v>1</v>
      </c>
      <c r="AI24" s="15">
        <f>VLOOKUP($A24,Courses!$A$2:$P$268,13,FALSE)</f>
        <v>412</v>
      </c>
      <c r="AJ24" s="15">
        <f>VLOOKUP($A24,Courses!$A$2:$P$268,14,FALSE)</f>
        <v>0</v>
      </c>
      <c r="AK24" s="15">
        <f>VLOOKUP($A24,Courses!$A$2:$P$268,15,FALSE)</f>
        <v>0</v>
      </c>
      <c r="AL24" s="15">
        <f>VLOOKUP($A24,Courses!$A$2:$P$268,16,FALSE)</f>
        <v>11</v>
      </c>
    </row>
    <row r="25" spans="1:38">
      <c r="A25" s="13" t="str">
        <f>CONCATENATE(D25,H25)</f>
        <v>ECON2040S2</v>
      </c>
      <c r="B25" s="69" t="s">
        <v>125</v>
      </c>
      <c r="C25" s="83">
        <v>2020</v>
      </c>
      <c r="D25" s="80" t="s">
        <v>75</v>
      </c>
      <c r="E25" s="13" t="str">
        <f>IF(VLOOKUP($A25,Courses!$A$2:$F$268,3,FALSE)=0,"",VLOOKUP($A25,Courses!$A$2:$F$268,3,FALSE))</f>
        <v/>
      </c>
      <c r="F25" s="13" t="str">
        <f>IF(VLOOKUP($A25,Courses!$A$2:$F$268,4,FALSE)=0,"",VLOOKUP($A25,Courses!$A$2:$F$268,4,FALSE))</f>
        <v/>
      </c>
      <c r="G25" s="13" t="str">
        <f>VLOOKUP($A25,Courses!$A$2:$F$268,5,FALSE)</f>
        <v>Macroeconomic Policy</v>
      </c>
      <c r="H25" s="70" t="s">
        <v>254</v>
      </c>
      <c r="I25" s="21" t="s">
        <v>252</v>
      </c>
      <c r="J25" s="70" t="s">
        <v>252</v>
      </c>
      <c r="L25" s="120">
        <v>1</v>
      </c>
      <c r="M25" s="71">
        <v>13</v>
      </c>
      <c r="N25" s="21"/>
      <c r="O25" s="21"/>
      <c r="P25" s="12">
        <f>IF($I25="Y",(wCCH1+wCCH2*$AJ25)*($AE25*$AF25)+(1-$AC25)*MIN(wCCH3*$AI25,maxCCH) + $AC25*MIN(wCCH4*$AI25,maxCCH),0)</f>
        <v>42.695</v>
      </c>
      <c r="Q25" s="12">
        <f>IF($J25="Y",(wTCH1+wTCH2*IF($K25="Y",1,0))*$AG25*$AH25+(1-$AC25)*MIN(wTCH3*$AI25,maxTCH) + $AC25*MIN(wTCH4*$AI25,maxTCH),0)</f>
        <v>19.716799999999999</v>
      </c>
      <c r="R25" s="10">
        <f>(wOLH1+wOLH2*IF($K25="Y",1,0)+wOLH3*$AD25)*$T25 + wRLH*$U25</f>
        <v>78</v>
      </c>
      <c r="S25" s="10">
        <f>wOTH*$V25 + wRTH*$W25</f>
        <v>0</v>
      </c>
      <c r="T25" s="10">
        <f>IF($L25&gt;0,$M25*$AF25,0)</f>
        <v>26</v>
      </c>
      <c r="U25" s="10">
        <f>IF($L25&gt;1,($L25-1)*$M25*$AF25,0)</f>
        <v>0</v>
      </c>
      <c r="V25" s="10">
        <f>IF($N25&gt;0,$O25*$AH25,0)</f>
        <v>0</v>
      </c>
      <c r="W25" s="10">
        <f>IF($N25&gt;1,($N25-1)*$O25*$AH25,0)</f>
        <v>0</v>
      </c>
      <c r="X25" s="12">
        <f>(wAPH1+wAPH2*IF($K25="Y",1,0)+wAPH3*$AJ25)*IF($AE25&gt;0,$M25/$AE25,0)</f>
        <v>50</v>
      </c>
      <c r="Y25" s="33">
        <f>wCMH*MIN($AI25,maxCMH)*IF($AE25&gt;0,$M25/$AE25,1)</f>
        <v>15</v>
      </c>
      <c r="Z25" s="12">
        <f>wCACH1*($T25+$V25) +((1-$AC25)*MIN(wCACH2*$AI25,maxCACH) + $AC25*MIN(wCACH3*$AI25,maxCACH))*IF($AE25&gt;0,$M25/$AE25,1)</f>
        <v>42.695</v>
      </c>
      <c r="AA25" s="12">
        <f>SUM($P25:$Z25)</f>
        <v>274.10680000000002</v>
      </c>
      <c r="AB25" s="10">
        <f>ROUND(AA25/172.5,1)</f>
        <v>1.6</v>
      </c>
      <c r="AC25" s="14">
        <f>IF(VLOOKUP($A25,Courses!$A$2:$P$268,7,FALSE)="Y",1,0)</f>
        <v>1</v>
      </c>
      <c r="AD25" s="14">
        <f>VLOOKUP($A25,Courses!$A$2:$P$268,8,FALSE)</f>
        <v>0</v>
      </c>
      <c r="AE25" s="14">
        <f>VLOOKUP($A25,Courses!$A$2:$P$268,9,FALSE)</f>
        <v>13</v>
      </c>
      <c r="AF25" s="14">
        <f>VLOOKUP($A25,Courses!$A$2:$P$268,10,FALSE)</f>
        <v>2</v>
      </c>
      <c r="AG25" s="14">
        <f>VLOOKUP($A25,Courses!$A$2:$P$268,11,FALSE)</f>
        <v>12</v>
      </c>
      <c r="AH25" s="15">
        <f>VLOOKUP($A25,Courses!$A$2:$P$268,12,FALSE)</f>
        <v>1</v>
      </c>
      <c r="AI25" s="15">
        <f>VLOOKUP($A25,Courses!$A$2:$P$268,13,FALSE)</f>
        <v>371</v>
      </c>
      <c r="AJ25" s="15">
        <f>VLOOKUP($A25,Courses!$A$2:$P$268,14,FALSE)</f>
        <v>0</v>
      </c>
      <c r="AK25" s="15">
        <f>VLOOKUP($A25,Courses!$A$2:$P$268,15,FALSE)</f>
        <v>0</v>
      </c>
      <c r="AL25" s="15">
        <f>VLOOKUP($A25,Courses!$A$2:$P$268,16,FALSE)</f>
        <v>10</v>
      </c>
    </row>
    <row r="26" spans="1:38">
      <c r="A26" s="13" t="str">
        <f>CONCATENATE(D26,H26)</f>
        <v>ECON2050S2</v>
      </c>
      <c r="B26" s="57" t="s">
        <v>807</v>
      </c>
      <c r="D26" s="80" t="s">
        <v>114</v>
      </c>
      <c r="E26" s="13" t="str">
        <f>IF(VLOOKUP($A26,Courses!$A$2:$F$268,3,FALSE)=0,"",VLOOKUP($A26,Courses!$A$2:$F$268,3,FALSE))</f>
        <v/>
      </c>
      <c r="F26" s="13" t="str">
        <f>IF(VLOOKUP($A26,Courses!$A$2:$F$268,4,FALSE)=0,"",VLOOKUP($A26,Courses!$A$2:$F$268,4,FALSE))</f>
        <v/>
      </c>
      <c r="G26" s="13" t="str">
        <f>VLOOKUP($A26,Courses!$A$2:$F$268,5,FALSE)</f>
        <v>Mathematical Economics</v>
      </c>
      <c r="H26" s="70" t="s">
        <v>254</v>
      </c>
      <c r="I26" s="21" t="s">
        <v>252</v>
      </c>
      <c r="J26" s="70" t="s">
        <v>252</v>
      </c>
      <c r="L26" s="120">
        <v>1</v>
      </c>
      <c r="M26" s="71">
        <v>13</v>
      </c>
      <c r="N26" s="21"/>
      <c r="O26" s="21"/>
      <c r="P26" s="12">
        <f>IF($I26="Y",(wCCH1+wCCH2*$AJ26)*($AE26*$AF26)+(1-$AC26)*MIN(wCCH3*$AI26,maxCCH) + $AC26*MIN(wCCH4*$AI26,maxCCH),0)</f>
        <v>47.33</v>
      </c>
      <c r="Q26" s="12">
        <f>IF($J26="Y",(wTCH1+wTCH2*IF($K26="Y",1,0))*$AG26*$AH26+(1-$AC26)*MIN(wTCH3*$AI26,maxTCH) + $AC26*MIN(wTCH4*$AI26,maxTCH),0)</f>
        <v>27.875</v>
      </c>
      <c r="R26" s="10">
        <f>(wOLH1+wOLH2*IF($K26="Y",1,0)+wOLH3*$AD26)*$T26 + wRLH*$U26</f>
        <v>78</v>
      </c>
      <c r="S26" s="10">
        <f>wOTH*$V26 + wRTH*$W26</f>
        <v>0</v>
      </c>
      <c r="T26" s="10">
        <f>IF($L26&gt;0,$M26*$AF26,0)</f>
        <v>26</v>
      </c>
      <c r="U26" s="10">
        <f>IF($L26&gt;1,($L26-1)*$M26*$AF26,0)</f>
        <v>0</v>
      </c>
      <c r="V26" s="10">
        <f>IF($N26&gt;0,$O26*$AH26,0)</f>
        <v>0</v>
      </c>
      <c r="W26" s="10">
        <f>IF($N26&gt;1,($N26-1)*$O26*$AH26,0)</f>
        <v>0</v>
      </c>
      <c r="X26" s="12">
        <f>(wAPH1+wAPH2*IF($K26="Y",1,0)+wAPH3*$AJ26)*IF($AE26&gt;0,$M26/$AE26,0)</f>
        <v>50</v>
      </c>
      <c r="Y26" s="33">
        <f>wCMH*MIN($AI26,maxCMH)*IF($AE26&gt;0,$M26/$AE26,1)</f>
        <v>15</v>
      </c>
      <c r="Z26" s="12">
        <f>wCACH1*($T26+$V26) +((1-$AC26)*MIN(wCACH2*$AI26,maxCACH) + $AC26*MIN(wCACH3*$AI26,maxCACH))*IF($AE26&gt;0,$M26/$AE26,1)</f>
        <v>47.33</v>
      </c>
      <c r="AA26" s="12">
        <f>SUM($P26:$Z26)</f>
        <v>291.53499999999997</v>
      </c>
      <c r="AB26" s="10">
        <f>ROUND(AA26/172.5,1)</f>
        <v>1.7</v>
      </c>
      <c r="AC26" s="14">
        <f>IF(VLOOKUP($A26,Courses!$A$2:$P$268,7,FALSE)="Y",1,0)</f>
        <v>0</v>
      </c>
      <c r="AD26" s="14">
        <f>VLOOKUP($A26,Courses!$A$2:$P$268,8,FALSE)</f>
        <v>0</v>
      </c>
      <c r="AE26" s="14">
        <f>VLOOKUP($A26,Courses!$A$2:$P$268,9,FALSE)</f>
        <v>13</v>
      </c>
      <c r="AF26" s="14">
        <f>VLOOKUP($A26,Courses!$A$2:$P$268,10,FALSE)</f>
        <v>2</v>
      </c>
      <c r="AG26" s="14">
        <f>VLOOKUP($A26,Courses!$A$2:$P$268,11,FALSE)</f>
        <v>12</v>
      </c>
      <c r="AH26" s="15">
        <f>VLOOKUP($A26,Courses!$A$2:$P$268,12,FALSE)</f>
        <v>1.5</v>
      </c>
      <c r="AI26" s="15">
        <f>VLOOKUP($A26,Courses!$A$2:$P$268,13,FALSE)</f>
        <v>158</v>
      </c>
      <c r="AJ26" s="15">
        <f>VLOOKUP($A26,Courses!$A$2:$P$268,14,FALSE)</f>
        <v>0</v>
      </c>
      <c r="AK26" s="15">
        <f>VLOOKUP($A26,Courses!$A$2:$P$268,15,FALSE)</f>
        <v>0</v>
      </c>
      <c r="AL26" s="15">
        <f>VLOOKUP($A26,Courses!$A$2:$P$268,16,FALSE)</f>
        <v>4</v>
      </c>
    </row>
    <row r="27" spans="1:38">
      <c r="A27" s="13" t="str">
        <f>CONCATENATE(D27,H27)</f>
        <v>ECON2060S1</v>
      </c>
      <c r="B27" s="57" t="s">
        <v>668</v>
      </c>
      <c r="D27" s="80" t="s">
        <v>58</v>
      </c>
      <c r="E27" s="13" t="str">
        <f>IF(VLOOKUP($A27,Courses!$A$2:$F$268,3,FALSE)=0,"",VLOOKUP($A27,Courses!$A$2:$F$268,3,FALSE))</f>
        <v/>
      </c>
      <c r="F27" s="13" t="str">
        <f>IF(VLOOKUP($A27,Courses!$A$2:$F$268,4,FALSE)=0,"",VLOOKUP($A27,Courses!$A$2:$F$268,4,FALSE))</f>
        <v/>
      </c>
      <c r="G27" s="13" t="str">
        <f>VLOOKUP($A27,Courses!$A$2:$F$268,5,FALSE)</f>
        <v>Behavioural Economics</v>
      </c>
      <c r="H27" s="70" t="s">
        <v>253</v>
      </c>
      <c r="I27" s="21" t="s">
        <v>252</v>
      </c>
      <c r="J27" s="70" t="s">
        <v>252</v>
      </c>
      <c r="K27" s="70" t="s">
        <v>252</v>
      </c>
      <c r="L27" s="120">
        <v>1</v>
      </c>
      <c r="M27" s="71">
        <v>13</v>
      </c>
      <c r="N27" s="21"/>
      <c r="O27" s="21"/>
      <c r="P27" s="12">
        <f>IF($I27="Y",(wCCH1+wCCH2*$AJ27)*($AE27*$AF27)+(1-$AC27)*MIN(wCCH3*$AI27,maxCCH) + $AC27*MIN(wCCH4*$AI27,maxCCH),0)</f>
        <v>43.415000000000006</v>
      </c>
      <c r="Q27" s="12">
        <f>IF($J27="Y",(wTCH1+wTCH2*IF($K27="Y",1,0))*$AG27*$AH27+(1-$AC27)*MIN(wTCH3*$AI27,maxTCH) + $AC27*MIN(wTCH4*$AI27,maxTCH),0)</f>
        <v>56.0625</v>
      </c>
      <c r="R27" s="10">
        <f>(wOLH1+wOLH2*IF($K27="Y",1,0)+wOLH3*$AD27)*$T27 + wRLH*$U27</f>
        <v>130</v>
      </c>
      <c r="S27" s="10">
        <f>wOTH*$V27 + wRTH*$W27</f>
        <v>0</v>
      </c>
      <c r="T27" s="10">
        <f>IF($L27&gt;0,$M27*$AF27,0)</f>
        <v>26</v>
      </c>
      <c r="U27" s="10">
        <f>IF($L27&gt;1,($L27-1)*$M27*$AF27,0)</f>
        <v>0</v>
      </c>
      <c r="V27" s="10">
        <f>IF($N27&gt;0,$O27*$AH27,0)</f>
        <v>0</v>
      </c>
      <c r="W27" s="10">
        <f>IF($N27&gt;1,($N27-1)*$O27*$AH27,0)</f>
        <v>0</v>
      </c>
      <c r="X27" s="12">
        <f>(wAPH1+wAPH2*IF($K27="Y",1,0)+wAPH3*$AJ27)*IF($AE27&gt;0,$M27/$AE27,0)</f>
        <v>70</v>
      </c>
      <c r="Y27" s="33">
        <f>wCMH*MIN($AI27,maxCMH)*IF($AE27&gt;0,$M27/$AE27,1)</f>
        <v>15</v>
      </c>
      <c r="Z27" s="12">
        <f>wCACH1*($T27+$V27) +((1-$AC27)*MIN(wCACH2*$AI27,maxCACH) + $AC27*MIN(wCACH3*$AI27,maxCACH))*IF($AE27&gt;0,$M27/$AE27,1)</f>
        <v>43.415000000000006</v>
      </c>
      <c r="AA27" s="12">
        <f>SUM($P27:$Z27)</f>
        <v>383.89250000000004</v>
      </c>
      <c r="AB27" s="10">
        <f>ROUND(AA27/172.5,1)</f>
        <v>2.2000000000000002</v>
      </c>
      <c r="AC27" s="14">
        <f>IF(VLOOKUP($A27,Courses!$A$2:$P$268,7,FALSE)="Y",1,0)</f>
        <v>0</v>
      </c>
      <c r="AD27" s="14">
        <f>VLOOKUP($A27,Courses!$A$2:$P$268,8,FALSE)</f>
        <v>0</v>
      </c>
      <c r="AE27" s="14">
        <f>VLOOKUP($A27,Courses!$A$2:$P$268,9,FALSE)</f>
        <v>13</v>
      </c>
      <c r="AF27" s="14">
        <f>VLOOKUP($A27,Courses!$A$2:$P$268,10,FALSE)</f>
        <v>2</v>
      </c>
      <c r="AG27" s="14">
        <f>VLOOKUP($A27,Courses!$A$2:$P$268,11,FALSE)</f>
        <v>12</v>
      </c>
      <c r="AH27" s="15">
        <f>VLOOKUP($A27,Courses!$A$2:$P$268,12,FALSE)</f>
        <v>2</v>
      </c>
      <c r="AI27" s="15">
        <f>VLOOKUP($A27,Courses!$A$2:$P$268,13,FALSE)</f>
        <v>129</v>
      </c>
      <c r="AJ27" s="15">
        <f>VLOOKUP($A27,Courses!$A$2:$P$268,14,FALSE)</f>
        <v>0</v>
      </c>
      <c r="AK27" s="15">
        <f>VLOOKUP($A27,Courses!$A$2:$P$268,15,FALSE)</f>
        <v>0</v>
      </c>
      <c r="AL27" s="15">
        <f>VLOOKUP($A27,Courses!$A$2:$P$268,16,FALSE)</f>
        <v>4</v>
      </c>
    </row>
    <row r="28" spans="1:38">
      <c r="A28" s="13" t="str">
        <f>CONCATENATE(D28,H28)</f>
        <v>ECON2070S1</v>
      </c>
      <c r="B28" s="69" t="s">
        <v>139</v>
      </c>
      <c r="C28" s="70">
        <v>2020</v>
      </c>
      <c r="D28" s="80" t="s">
        <v>145</v>
      </c>
      <c r="E28" s="13" t="str">
        <f>IF(VLOOKUP($A28,Courses!$A$2:$F$268,3,FALSE)=0,"",VLOOKUP($A28,Courses!$A$2:$F$268,3,FALSE))</f>
        <v/>
      </c>
      <c r="F28" s="13" t="str">
        <f>IF(VLOOKUP($A28,Courses!$A$2:$F$268,4,FALSE)=0,"",VLOOKUP($A28,Courses!$A$2:$F$268,4,FALSE))</f>
        <v/>
      </c>
      <c r="G28" s="13" t="str">
        <f>VLOOKUP($A28,Courses!$A$2:$F$268,5,FALSE)</f>
        <v>Intro to Strategic Thinking</v>
      </c>
      <c r="H28" s="70" t="s">
        <v>253</v>
      </c>
      <c r="I28" s="21" t="s">
        <v>252</v>
      </c>
      <c r="J28" s="70" t="s">
        <v>252</v>
      </c>
      <c r="L28" s="120">
        <v>1</v>
      </c>
      <c r="M28" s="71">
        <v>13</v>
      </c>
      <c r="N28" s="21"/>
      <c r="O28" s="21"/>
      <c r="P28" s="12">
        <f>IF($I28="Y",(wCCH1+wCCH2*$AJ28)*($AE28*$AF28)+(1-$AC28)*MIN(wCCH3*$AI28,maxCCH) + $AC28*MIN(wCCH4*$AI28,maxCCH),0)</f>
        <v>42.155000000000001</v>
      </c>
      <c r="Q28" s="12">
        <f>IF($J28="Y",(wTCH1+wTCH2*IF($K28="Y",1,0))*$AG28*$AH28+(1-$AC28)*MIN(wTCH3*$AI28,maxTCH) + $AC28*MIN(wTCH4*$AI28,maxTCH),0)</f>
        <v>19.467199999999998</v>
      </c>
      <c r="R28" s="10">
        <f>(wOLH1+wOLH2*IF($K28="Y",1,0)+wOLH3*$AD28)*$T28 + wRLH*$U28</f>
        <v>78</v>
      </c>
      <c r="S28" s="10">
        <f>wOTH*$V28 + wRTH*$W28</f>
        <v>0</v>
      </c>
      <c r="T28" s="10">
        <f>IF($L28&gt;0,$M28*$AF28,0)</f>
        <v>26</v>
      </c>
      <c r="U28" s="10">
        <f>IF($L28&gt;1,($L28-1)*$M28*$AF28,0)</f>
        <v>0</v>
      </c>
      <c r="V28" s="10">
        <f>IF($N28&gt;0,$O28*$AH28,0)</f>
        <v>0</v>
      </c>
      <c r="W28" s="10">
        <f>IF($N28&gt;1,($N28-1)*$O28*$AH28,0)</f>
        <v>0</v>
      </c>
      <c r="X28" s="12">
        <f>(wAPH1+wAPH2*IF($K28="Y",1,0)+wAPH3*$AJ28)*IF($AE28&gt;0,$M28/$AE28,0)</f>
        <v>50</v>
      </c>
      <c r="Y28" s="33">
        <f>wCMH*MIN($AI28,maxCMH)*IF($AE28&gt;0,$M28/$AE28,1)</f>
        <v>15</v>
      </c>
      <c r="Z28" s="12">
        <f>wCACH1*($T28+$V28) +((1-$AC28)*MIN(wCACH2*$AI28,maxCACH) + $AC28*MIN(wCACH3*$AI28,maxCACH))*IF($AE28&gt;0,$M28/$AE28,1)</f>
        <v>42.155000000000001</v>
      </c>
      <c r="AA28" s="12">
        <f>SUM($P28:$Z28)</f>
        <v>272.77719999999999</v>
      </c>
      <c r="AB28" s="10">
        <f>ROUND(AA28/172.5,1)</f>
        <v>1.6</v>
      </c>
      <c r="AC28" s="14">
        <f>IF(VLOOKUP($A28,Courses!$A$2:$P$268,7,FALSE)="Y",1,0)</f>
        <v>1</v>
      </c>
      <c r="AD28" s="14">
        <f>VLOOKUP($A28,Courses!$A$2:$P$268,8,FALSE)</f>
        <v>0</v>
      </c>
      <c r="AE28" s="14">
        <f>VLOOKUP($A28,Courses!$A$2:$P$268,9,FALSE)</f>
        <v>13</v>
      </c>
      <c r="AF28" s="14">
        <f>VLOOKUP($A28,Courses!$A$2:$P$268,10,FALSE)</f>
        <v>2</v>
      </c>
      <c r="AG28" s="14">
        <f>VLOOKUP($A28,Courses!$A$2:$P$268,11,FALSE)</f>
        <v>12</v>
      </c>
      <c r="AH28" s="15">
        <f>VLOOKUP($A28,Courses!$A$2:$P$268,12,FALSE)</f>
        <v>1</v>
      </c>
      <c r="AI28" s="15">
        <f>VLOOKUP($A28,Courses!$A$2:$P$268,13,FALSE)</f>
        <v>359</v>
      </c>
      <c r="AJ28" s="15">
        <f>VLOOKUP($A28,Courses!$A$2:$P$268,14,FALSE)</f>
        <v>0</v>
      </c>
      <c r="AK28" s="15">
        <f>VLOOKUP($A28,Courses!$A$2:$P$268,15,FALSE)</f>
        <v>0</v>
      </c>
      <c r="AL28" s="15">
        <f>VLOOKUP($A28,Courses!$A$2:$P$268,16,FALSE)</f>
        <v>9</v>
      </c>
    </row>
    <row r="29" spans="1:38">
      <c r="A29" s="13" t="str">
        <f>CONCATENATE(D29,H29)</f>
        <v>ECON2070S3</v>
      </c>
      <c r="B29" s="69" t="s">
        <v>154</v>
      </c>
      <c r="D29" s="80" t="s">
        <v>145</v>
      </c>
      <c r="E29" s="13" t="str">
        <f>IF(VLOOKUP($A29,Courses!$A$2:$F$268,3,FALSE)=0,"",VLOOKUP($A29,Courses!$A$2:$F$268,3,FALSE))</f>
        <v/>
      </c>
      <c r="F29" s="13" t="str">
        <f>IF(VLOOKUP($A29,Courses!$A$2:$F$268,4,FALSE)=0,"",VLOOKUP($A29,Courses!$A$2:$F$268,4,FALSE))</f>
        <v/>
      </c>
      <c r="G29" s="13" t="str">
        <f>VLOOKUP($A29,Courses!$A$2:$F$268,5,FALSE)</f>
        <v>Intro to Strategic Thinking</v>
      </c>
      <c r="H29" s="70" t="s">
        <v>255</v>
      </c>
      <c r="I29" s="21" t="s">
        <v>252</v>
      </c>
      <c r="J29" s="70" t="s">
        <v>252</v>
      </c>
      <c r="K29" s="70" t="s">
        <v>252</v>
      </c>
      <c r="L29" s="70">
        <v>1</v>
      </c>
      <c r="M29" s="71">
        <v>7</v>
      </c>
      <c r="N29" s="21"/>
      <c r="P29" s="12">
        <f>IF($I29="Y",(wCCH1+wCCH2*$AJ29)*($AE29*$AF29)+(1-$AC29)*MIN(wCCH3*$AI29,maxCCH) + $AC29*MIN(wCCH4*$AI29,maxCCH),0)</f>
        <v>51.22</v>
      </c>
      <c r="Q29" s="12">
        <f>IF($J29="Y",(wTCH1+wTCH2*IF($K29="Y",1,0))*$AG29*$AH29+(1-$AC29)*MIN(wTCH3*$AI29,maxTCH) + $AC29*MIN(wTCH4*$AI29,maxTCH),0)</f>
        <v>24.75</v>
      </c>
      <c r="R29" s="10">
        <f>(wOLH1+wOLH2*IF($K29="Y",1,0)+wOLH3*$AD29)*$T29 + wRLH*$U29</f>
        <v>140</v>
      </c>
      <c r="S29" s="10">
        <f>wOTH*$V29 + wRTH*$W29</f>
        <v>0</v>
      </c>
      <c r="T29" s="10">
        <f>IF($L29&gt;0,$M29*$AF29,0)</f>
        <v>28</v>
      </c>
      <c r="U29" s="10">
        <f>IF($L29&gt;1,($L29-1)*$M29*$AF29,0)</f>
        <v>0</v>
      </c>
      <c r="V29" s="10">
        <f>IF($N29&gt;0,$O29*$AH29,0)</f>
        <v>0</v>
      </c>
      <c r="W29" s="10">
        <f>IF($N29&gt;1,($N29-1)*$O29*$AH29,0)</f>
        <v>0</v>
      </c>
      <c r="X29" s="12">
        <f>(wAPH1+wAPH2*IF($K29="Y",1,0)+wAPH3*$AJ29)*IF($AE29&gt;0,$M29/$AE29,0)</f>
        <v>70</v>
      </c>
      <c r="Y29" s="33">
        <f>wCMH*MIN($AI29,maxCMH)*IF($AE29&gt;0,$M29/$AE29,1)</f>
        <v>15</v>
      </c>
      <c r="Z29" s="12">
        <f>wCACH1*($T29+$V29) +((1-$AC29)*MIN(wCACH2*$AI29,maxCACH) + $AC29*MIN(wCACH3*$AI29,maxCACH))*IF($AE29&gt;0,$M29/$AE29,1)</f>
        <v>51.22</v>
      </c>
      <c r="AA29" s="12">
        <f>SUM($P29:$Z29)</f>
        <v>380.19000000000005</v>
      </c>
      <c r="AB29" s="10">
        <f>ROUND(AA29/172.5,1)</f>
        <v>2.2000000000000002</v>
      </c>
      <c r="AC29" s="14">
        <f>IF(VLOOKUP($A29,Courses!$A$2:$P$268,7,FALSE)="Y",1,0)</f>
        <v>0</v>
      </c>
      <c r="AD29" s="14">
        <f>VLOOKUP($A29,Courses!$A$2:$P$268,8,FALSE)</f>
        <v>0</v>
      </c>
      <c r="AE29" s="14">
        <f>VLOOKUP($A29,Courses!$A$2:$P$268,9,FALSE)</f>
        <v>7</v>
      </c>
      <c r="AF29" s="14">
        <f>VLOOKUP($A29,Courses!$A$2:$P$268,10,FALSE)</f>
        <v>4</v>
      </c>
      <c r="AG29" s="14">
        <f>VLOOKUP($A29,Courses!$A$2:$P$268,11,FALSE)</f>
        <v>7</v>
      </c>
      <c r="AH29" s="15">
        <f>VLOOKUP($A29,Courses!$A$2:$P$268,12,FALSE)</f>
        <v>1</v>
      </c>
      <c r="AI29" s="15">
        <f>VLOOKUP($A29,Courses!$A$2:$P$268,13,FALSE)</f>
        <v>172</v>
      </c>
      <c r="AJ29" s="15">
        <f>VLOOKUP($A29,Courses!$A$2:$P$268,14,FALSE)</f>
        <v>0</v>
      </c>
      <c r="AK29" s="15">
        <f>VLOOKUP($A29,Courses!$A$2:$P$268,15,FALSE)</f>
        <v>0</v>
      </c>
      <c r="AL29" s="15">
        <f>VLOOKUP($A29,Courses!$A$2:$P$268,16,FALSE)</f>
        <v>5</v>
      </c>
    </row>
    <row r="30" spans="1:38">
      <c r="A30" s="13" t="str">
        <f>CONCATENATE(D30,H30)</f>
        <v>ECON2101S1</v>
      </c>
      <c r="B30" s="69" t="s">
        <v>587</v>
      </c>
      <c r="C30" s="71"/>
      <c r="D30" s="80" t="s">
        <v>561</v>
      </c>
      <c r="E30" s="13" t="str">
        <f>IF(VLOOKUP($A30,Courses!$A$2:$F$268,3,FALSE)=0,"",VLOOKUP($A30,Courses!$A$2:$F$268,3,FALSE))</f>
        <v/>
      </c>
      <c r="F30" s="13" t="str">
        <f>IF(VLOOKUP($A30,Courses!$A$2:$F$268,4,FALSE)=0,"",VLOOKUP($A30,Courses!$A$2:$F$268,4,FALSE))</f>
        <v/>
      </c>
      <c r="G30" s="13" t="str">
        <f>VLOOKUP($A30,Courses!$A$2:$F$268,5,FALSE)</f>
        <v>Cost-Benefit Analysis</v>
      </c>
      <c r="H30" s="70" t="s">
        <v>253</v>
      </c>
      <c r="I30" s="21" t="s">
        <v>252</v>
      </c>
      <c r="J30" s="70" t="s">
        <v>252</v>
      </c>
      <c r="K30" s="70" t="s">
        <v>252</v>
      </c>
      <c r="L30" s="120">
        <v>1</v>
      </c>
      <c r="M30" s="71">
        <v>13</v>
      </c>
      <c r="N30" s="21"/>
      <c r="O30" s="21"/>
      <c r="P30" s="12">
        <f>IF($I30="Y",(wCCH1+wCCH2*$AJ30)*($AE30*$AF30)+(1-$AC30)*MIN(wCCH3*$AI30,maxCCH) + $AC30*MIN(wCCH4*$AI30,maxCCH),0)</f>
        <v>53</v>
      </c>
      <c r="Q30" s="12">
        <f>IF($J30="Y",(wTCH1+wTCH2*IF($K30="Y",1,0))*$AG30*$AH30+(1-$AC30)*MIN(wTCH3*$AI30,maxTCH) + $AC30*MIN(wTCH4*$AI30,maxTCH),0)</f>
        <v>36.5</v>
      </c>
      <c r="R30" s="10">
        <f>(wOLH1+wOLH2*IF($K30="Y",1,0)+wOLH3*$AD30)*$T30 + wRLH*$U30</f>
        <v>130</v>
      </c>
      <c r="S30" s="10">
        <f>wOTH*$V30 + wRTH*$W30</f>
        <v>0</v>
      </c>
      <c r="T30" s="10">
        <f>IF($L30&gt;0,$M30*$AF30,0)</f>
        <v>26</v>
      </c>
      <c r="U30" s="10">
        <f>IF($L30&gt;1,($L30-1)*$M30*$AF30,0)</f>
        <v>0</v>
      </c>
      <c r="V30" s="10">
        <f>IF($N30&gt;0,$O30*$AH30,0)</f>
        <v>0</v>
      </c>
      <c r="W30" s="10">
        <f>IF($N30&gt;1,($N30-1)*$O30*$AH30,0)</f>
        <v>0</v>
      </c>
      <c r="X30" s="12">
        <f>(wAPH1+wAPH2*IF($K30="Y",1,0)+wAPH3*$AJ30)*IF($AE30&gt;0,$M30/$AE30,0)</f>
        <v>70</v>
      </c>
      <c r="Y30" s="33">
        <f>wCMH*MIN($AI30,maxCMH)*IF($AE30&gt;0,$M30/$AE30,1)</f>
        <v>15</v>
      </c>
      <c r="Z30" s="12">
        <f>wCACH1*($T30+$V30) +((1-$AC30)*MIN(wCACH2*$AI30,maxCACH) + $AC30*MIN(wCACH3*$AI30,maxCACH))*IF($AE30&gt;0,$M30/$AE30,1)</f>
        <v>53</v>
      </c>
      <c r="AA30" s="12">
        <f>SUM($P30:$Z30)</f>
        <v>383.5</v>
      </c>
      <c r="AB30" s="10">
        <f>ROUND(AA30/172.5,1)</f>
        <v>2.2000000000000002</v>
      </c>
      <c r="AC30" s="14">
        <f>IF(VLOOKUP($A30,Courses!$A$2:$P$268,7,FALSE)="Y",1,0)</f>
        <v>0</v>
      </c>
      <c r="AD30" s="14">
        <f>VLOOKUP($A30,Courses!$A$2:$P$268,8,FALSE)</f>
        <v>0</v>
      </c>
      <c r="AE30" s="14">
        <f>VLOOKUP($A30,Courses!$A$2:$P$268,9,FALSE)</f>
        <v>13</v>
      </c>
      <c r="AF30" s="14">
        <f>VLOOKUP($A30,Courses!$A$2:$P$268,10,FALSE)</f>
        <v>2</v>
      </c>
      <c r="AG30" s="14">
        <f>VLOOKUP($A30,Courses!$A$2:$P$268,11,FALSE)</f>
        <v>12</v>
      </c>
      <c r="AH30" s="15">
        <f>VLOOKUP($A30,Courses!$A$2:$P$268,12,FALSE)</f>
        <v>1</v>
      </c>
      <c r="AI30" s="15">
        <f>VLOOKUP($A30,Courses!$A$2:$P$268,13,FALSE)</f>
        <v>200</v>
      </c>
      <c r="AJ30" s="15">
        <f>VLOOKUP($A30,Courses!$A$2:$P$268,14,FALSE)</f>
        <v>0</v>
      </c>
      <c r="AK30" s="15">
        <f>VLOOKUP($A30,Courses!$A$2:$P$268,15,FALSE)</f>
        <v>0</v>
      </c>
      <c r="AL30" s="15">
        <f>VLOOKUP($A30,Courses!$A$2:$P$268,16,FALSE)</f>
        <v>5</v>
      </c>
    </row>
    <row r="31" spans="1:38">
      <c r="A31" s="13" t="str">
        <f>CONCATENATE(D31,H31)</f>
        <v>ECON2101S2</v>
      </c>
      <c r="B31" s="69" t="s">
        <v>587</v>
      </c>
      <c r="C31" s="71"/>
      <c r="D31" s="80" t="s">
        <v>561</v>
      </c>
      <c r="E31" s="13" t="str">
        <f>IF(VLOOKUP($A31,Courses!$A$2:$F$268,3,FALSE)=0,"",VLOOKUP($A31,Courses!$A$2:$F$268,3,FALSE))</f>
        <v/>
      </c>
      <c r="F31" s="13" t="str">
        <f>IF(VLOOKUP($A31,Courses!$A$2:$F$268,4,FALSE)=0,"",VLOOKUP($A31,Courses!$A$2:$F$268,4,FALSE))</f>
        <v/>
      </c>
      <c r="G31" s="13" t="str">
        <f>VLOOKUP($A31,Courses!$A$2:$F$268,5,FALSE)</f>
        <v>Cost-Benefit Analysis</v>
      </c>
      <c r="H31" s="70" t="s">
        <v>254</v>
      </c>
      <c r="I31" s="21" t="s">
        <v>252</v>
      </c>
      <c r="J31" s="70" t="s">
        <v>252</v>
      </c>
      <c r="L31" s="120">
        <v>1</v>
      </c>
      <c r="M31" s="71">
        <v>13</v>
      </c>
      <c r="N31" s="21"/>
      <c r="O31" s="21"/>
      <c r="P31" s="12">
        <f>IF($I31="Y",(wCCH1+wCCH2*$AJ31)*($AE31*$AF31)+(1-$AC31)*MIN(wCCH3*$AI31,maxCCH) + $AC31*MIN(wCCH4*$AI31,maxCCH),0)</f>
        <v>53</v>
      </c>
      <c r="Q31" s="12">
        <f>IF($J31="Y",(wTCH1+wTCH2*IF($K31="Y",1,0))*$AG31*$AH31+(1-$AC31)*MIN(wTCH3*$AI31,maxTCH) + $AC31*MIN(wTCH4*$AI31,maxTCH),0)</f>
        <v>24.5</v>
      </c>
      <c r="R31" s="10">
        <f>(wOLH1+wOLH2*IF($K31="Y",1,0)+wOLH3*$AD31)*$T31 + wRLH*$U31</f>
        <v>78</v>
      </c>
      <c r="S31" s="10">
        <f>wOTH*$V31 + wRTH*$W31</f>
        <v>0</v>
      </c>
      <c r="T31" s="10">
        <f>IF($L31&gt;0,$M31*$AF31,0)</f>
        <v>26</v>
      </c>
      <c r="U31" s="10">
        <f>IF($L31&gt;1,($L31-1)*$M31*$AF31,0)</f>
        <v>0</v>
      </c>
      <c r="V31" s="10">
        <f>IF($N31&gt;0,$O31*$AH31,0)</f>
        <v>0</v>
      </c>
      <c r="W31" s="10">
        <f>IF($N31&gt;1,($N31-1)*$O31*$AH31,0)</f>
        <v>0</v>
      </c>
      <c r="X31" s="12">
        <f>(wAPH1+wAPH2*IF($K31="Y",1,0)+wAPH3*$AJ31)*IF($AE31&gt;0,$M31/$AE31,0)</f>
        <v>50</v>
      </c>
      <c r="Y31" s="33">
        <f>wCMH*MIN($AI31,maxCMH)*IF($AE31&gt;0,$M31/$AE31,1)</f>
        <v>15</v>
      </c>
      <c r="Z31" s="12">
        <f>wCACH1*($T31+$V31) +((1-$AC31)*MIN(wCACH2*$AI31,maxCACH) + $AC31*MIN(wCACH3*$AI31,maxCACH))*IF($AE31&gt;0,$M31/$AE31,1)</f>
        <v>53</v>
      </c>
      <c r="AA31" s="12">
        <f>SUM($P31:$Z31)</f>
        <v>299.5</v>
      </c>
      <c r="AB31" s="10">
        <f>ROUND(AA31/172.5,1)</f>
        <v>1.7</v>
      </c>
      <c r="AC31" s="14">
        <f>IF(VLOOKUP($A31,Courses!$A$2:$P$268,7,FALSE)="Y",1,0)</f>
        <v>0</v>
      </c>
      <c r="AD31" s="14">
        <f>VLOOKUP($A31,Courses!$A$2:$P$268,8,FALSE)</f>
        <v>0</v>
      </c>
      <c r="AE31" s="14">
        <f>VLOOKUP($A31,Courses!$A$2:$P$268,9,FALSE)</f>
        <v>13</v>
      </c>
      <c r="AF31" s="14">
        <f>VLOOKUP($A31,Courses!$A$2:$P$268,10,FALSE)</f>
        <v>2</v>
      </c>
      <c r="AG31" s="14">
        <f>VLOOKUP($A31,Courses!$A$2:$P$268,11,FALSE)</f>
        <v>12</v>
      </c>
      <c r="AH31" s="15">
        <f>VLOOKUP($A31,Courses!$A$2:$P$268,12,FALSE)</f>
        <v>1</v>
      </c>
      <c r="AI31" s="15">
        <f>VLOOKUP($A31,Courses!$A$2:$P$268,13,FALSE)</f>
        <v>200</v>
      </c>
      <c r="AJ31" s="15">
        <f>VLOOKUP($A31,Courses!$A$2:$P$268,14,FALSE)</f>
        <v>0</v>
      </c>
      <c r="AK31" s="15">
        <f>VLOOKUP($A31,Courses!$A$2:$P$268,15,FALSE)</f>
        <v>0</v>
      </c>
      <c r="AL31" s="15">
        <f>VLOOKUP($A31,Courses!$A$2:$P$268,16,FALSE)</f>
        <v>5</v>
      </c>
    </row>
    <row r="32" spans="1:38">
      <c r="A32" s="13" t="str">
        <f>CONCATENATE(D32,H32)</f>
        <v>ECON2102S2</v>
      </c>
      <c r="B32" s="69" t="s">
        <v>9</v>
      </c>
      <c r="D32" s="80" t="s">
        <v>565</v>
      </c>
      <c r="E32" s="13" t="str">
        <f>IF(VLOOKUP($A32,Courses!$A$2:$F$268,3,FALSE)=0,"",VLOOKUP($A32,Courses!$A$2:$F$268,3,FALSE))</f>
        <v/>
      </c>
      <c r="F32" s="13" t="str">
        <f>IF(VLOOKUP($A32,Courses!$A$2:$F$268,4,FALSE)=0,"",VLOOKUP($A32,Courses!$A$2:$F$268,4,FALSE))</f>
        <v/>
      </c>
      <c r="G32" s="13" t="str">
        <f>VLOOKUP($A32,Courses!$A$2:$F$268,5,FALSE)</f>
        <v>Experiments and Decision Making</v>
      </c>
      <c r="H32" s="70" t="s">
        <v>254</v>
      </c>
      <c r="I32" s="21" t="s">
        <v>252</v>
      </c>
      <c r="J32" s="128" t="s">
        <v>252</v>
      </c>
      <c r="K32" s="70" t="s">
        <v>252</v>
      </c>
      <c r="L32" s="120">
        <v>1</v>
      </c>
      <c r="M32" s="71">
        <v>13</v>
      </c>
      <c r="N32" s="21">
        <v>1</v>
      </c>
      <c r="O32" s="21">
        <v>12</v>
      </c>
      <c r="P32" s="12">
        <f>IF($I32="Y",(wCCH1+wCCH2*$AJ32)*($AE32*$AF32)+(1-$AC32)*MIN(wCCH3*$AI32,maxCCH) + $AC32*MIN(wCCH4*$AI32,maxCCH),0)</f>
        <v>29.375</v>
      </c>
      <c r="Q32" s="12">
        <f>IF($J32="Y",(wTCH1+wTCH2*IF($K32="Y",1,0))*$AG32*$AH32+(1-$AC32)*MIN(wTCH3*$AI32,maxTCH) + $AC32*MIN(wTCH4*$AI32,maxTCH),0)</f>
        <v>25.5625</v>
      </c>
      <c r="R32" s="10">
        <f>(wOLH1+wOLH2*IF($K32="Y",1,0)+wOLH3*$AD32)*$T32 + wRLH*$U32</f>
        <v>130</v>
      </c>
      <c r="S32" s="10">
        <f>wOTH*$V32 + wRTH*$W32</f>
        <v>12</v>
      </c>
      <c r="T32" s="10">
        <f>IF($L32&gt;0,$M32*$AF32,0)</f>
        <v>26</v>
      </c>
      <c r="U32" s="10">
        <f>IF($L32&gt;1,($L32-1)*$M32*$AF32,0)</f>
        <v>0</v>
      </c>
      <c r="V32" s="10">
        <f>IF($N32&gt;0,$O32*$AH32,0)</f>
        <v>12</v>
      </c>
      <c r="W32" s="10">
        <f>IF($N32&gt;1,($N32-1)*$O32*$AH32,0)</f>
        <v>0</v>
      </c>
      <c r="X32" s="12">
        <f>(wAPH1+wAPH2*IF($K32="Y",1,0)+wAPH3*$AJ32)*IF($AE32&gt;0,$M32/$AE32,0)</f>
        <v>70</v>
      </c>
      <c r="Y32" s="33">
        <f>wCMH*MIN($AI32,maxCMH)*IF($AE32&gt;0,$M32/$AE32,1)</f>
        <v>15</v>
      </c>
      <c r="Z32" s="12">
        <f>wCACH1*($T32+$V32) +((1-$AC32)*MIN(wCACH2*$AI32,maxCACH) + $AC32*MIN(wCACH3*$AI32,maxCACH))*IF($AE32&gt;0,$M32/$AE32,1)</f>
        <v>41.375</v>
      </c>
      <c r="AA32" s="12">
        <f>SUM($P32:$Z32)</f>
        <v>361.3125</v>
      </c>
      <c r="AB32" s="10">
        <f>ROUND(AA32/172.5,1)</f>
        <v>2.1</v>
      </c>
      <c r="AC32" s="14">
        <f>IF(VLOOKUP($A32,Courses!$A$2:$P$268,7,FALSE)="Y",1,0)</f>
        <v>0</v>
      </c>
      <c r="AD32" s="14">
        <f>VLOOKUP($A32,Courses!$A$2:$P$268,8,FALSE)</f>
        <v>0</v>
      </c>
      <c r="AE32" s="14">
        <f>VLOOKUP($A32,Courses!$A$2:$P$268,9,FALSE)</f>
        <v>13</v>
      </c>
      <c r="AF32" s="14">
        <f>VLOOKUP($A32,Courses!$A$2:$P$268,10,FALSE)</f>
        <v>2</v>
      </c>
      <c r="AG32" s="14">
        <f>VLOOKUP($A32,Courses!$A$2:$P$268,11,FALSE)</f>
        <v>12</v>
      </c>
      <c r="AH32" s="15">
        <f>VLOOKUP($A32,Courses!$A$2:$P$268,12,FALSE)</f>
        <v>1</v>
      </c>
      <c r="AI32" s="15">
        <f>VLOOKUP($A32,Courses!$A$2:$P$268,13,FALSE)</f>
        <v>25</v>
      </c>
      <c r="AJ32" s="15">
        <f>VLOOKUP($A32,Courses!$A$2:$P$268,14,FALSE)</f>
        <v>0</v>
      </c>
      <c r="AK32" s="15">
        <f>VLOOKUP($A32,Courses!$A$2:$P$268,15,FALSE)</f>
        <v>0</v>
      </c>
      <c r="AL32" s="15">
        <f>VLOOKUP($A32,Courses!$A$2:$P$268,16,FALSE)</f>
        <v>1</v>
      </c>
    </row>
    <row r="33" spans="1:38">
      <c r="A33" s="13" t="str">
        <f>CONCATENATE(D33,H33)</f>
        <v>ECON2103S1</v>
      </c>
      <c r="B33" s="69" t="s">
        <v>137</v>
      </c>
      <c r="C33" s="71"/>
      <c r="D33" s="80" t="s">
        <v>563</v>
      </c>
      <c r="E33" s="13" t="str">
        <f>IF(VLOOKUP($A33,Courses!$A$2:$F$268,3,FALSE)=0,"",VLOOKUP($A33,Courses!$A$2:$F$268,3,FALSE))</f>
        <v/>
      </c>
      <c r="F33" s="13" t="str">
        <f>IF(VLOOKUP($A33,Courses!$A$2:$F$268,4,FALSE)=0,"",VLOOKUP($A33,Courses!$A$2:$F$268,4,FALSE))</f>
        <v/>
      </c>
      <c r="G33" s="13" t="str">
        <f>VLOOKUP($A33,Courses!$A$2:$F$268,5,FALSE)</f>
        <v>Financial Economics</v>
      </c>
      <c r="H33" s="70" t="s">
        <v>253</v>
      </c>
      <c r="I33" s="21" t="s">
        <v>252</v>
      </c>
      <c r="J33" s="70" t="s">
        <v>252</v>
      </c>
      <c r="K33" s="70" t="s">
        <v>252</v>
      </c>
      <c r="L33" s="120">
        <v>1</v>
      </c>
      <c r="M33" s="71">
        <v>13</v>
      </c>
      <c r="N33" s="21"/>
      <c r="O33" s="21"/>
      <c r="P33" s="12">
        <f>IF($I33="Y",(wCCH1+wCCH2*$AJ33)*($AE33*$AF33)+(1-$AC33)*MIN(wCCH3*$AI33,maxCCH) + $AC33*MIN(wCCH4*$AI33,maxCCH),0)</f>
        <v>39.5</v>
      </c>
      <c r="Q33" s="12">
        <f>IF($J33="Y",(wTCH1+wTCH2*IF($K33="Y",1,0))*$AG33*$AH33+(1-$AC33)*MIN(wTCH3*$AI33,maxTCH) + $AC33*MIN(wTCH4*$AI33,maxTCH),0)</f>
        <v>30.25</v>
      </c>
      <c r="R33" s="10">
        <f>(wOLH1+wOLH2*IF($K33="Y",1,0)+wOLH3*$AD33)*$T33 + wRLH*$U33</f>
        <v>130</v>
      </c>
      <c r="S33" s="10">
        <f>wOTH*$V33 + wRTH*$W33</f>
        <v>0</v>
      </c>
      <c r="T33" s="10">
        <f>IF($L33&gt;0,$M33*$AF33,0)</f>
        <v>26</v>
      </c>
      <c r="U33" s="10">
        <f>IF($L33&gt;1,($L33-1)*$M33*$AF33,0)</f>
        <v>0</v>
      </c>
      <c r="V33" s="10">
        <f>IF($N33&gt;0,$O33*$AH33,0)</f>
        <v>0</v>
      </c>
      <c r="W33" s="10">
        <f>IF($N33&gt;1,($N33-1)*$O33*$AH33,0)</f>
        <v>0</v>
      </c>
      <c r="X33" s="12">
        <f>(wAPH1+wAPH2*IF($K33="Y",1,0)+wAPH3*$AJ33)*IF($AE33&gt;0,$M33/$AE33,0)</f>
        <v>70</v>
      </c>
      <c r="Y33" s="33">
        <f>wCMH*MIN($AI33,maxCMH)*IF($AE33&gt;0,$M33/$AE33,1)</f>
        <v>15</v>
      </c>
      <c r="Z33" s="12">
        <f>wCACH1*($T33+$V33) +((1-$AC33)*MIN(wCACH2*$AI33,maxCACH) + $AC33*MIN(wCACH3*$AI33,maxCACH))*IF($AE33&gt;0,$M33/$AE33,1)</f>
        <v>39.5</v>
      </c>
      <c r="AA33" s="12">
        <f>SUM($P33:$Z33)</f>
        <v>350.25</v>
      </c>
      <c r="AB33" s="10">
        <f>ROUND(AA33/172.5,1)</f>
        <v>2</v>
      </c>
      <c r="AC33" s="14">
        <f>IF(VLOOKUP($A33,Courses!$A$2:$P$268,7,FALSE)="Y",1,0)</f>
        <v>0</v>
      </c>
      <c r="AD33" s="14">
        <f>VLOOKUP($A33,Courses!$A$2:$P$268,8,FALSE)</f>
        <v>0</v>
      </c>
      <c r="AE33" s="14">
        <f>VLOOKUP($A33,Courses!$A$2:$P$268,9,FALSE)</f>
        <v>13</v>
      </c>
      <c r="AF33" s="14">
        <f>VLOOKUP($A33,Courses!$A$2:$P$268,10,FALSE)</f>
        <v>2</v>
      </c>
      <c r="AG33" s="14">
        <f>VLOOKUP($A33,Courses!$A$2:$P$268,11,FALSE)</f>
        <v>12</v>
      </c>
      <c r="AH33" s="15">
        <f>VLOOKUP($A33,Courses!$A$2:$P$268,12,FALSE)</f>
        <v>1</v>
      </c>
      <c r="AI33" s="15">
        <f>VLOOKUP($A33,Courses!$A$2:$P$268,13,FALSE)</f>
        <v>100</v>
      </c>
      <c r="AJ33" s="15">
        <f>VLOOKUP($A33,Courses!$A$2:$P$268,14,FALSE)</f>
        <v>0</v>
      </c>
      <c r="AK33" s="15">
        <f>VLOOKUP($A33,Courses!$A$2:$P$268,15,FALSE)</f>
        <v>0</v>
      </c>
      <c r="AL33" s="15">
        <f>VLOOKUP($A33,Courses!$A$2:$P$268,16,FALSE)</f>
        <v>3</v>
      </c>
    </row>
    <row r="34" spans="1:38">
      <c r="A34" s="13" t="str">
        <f>CONCATENATE(D34,H34)</f>
        <v>ECON2105S1</v>
      </c>
      <c r="B34" s="69" t="s">
        <v>136</v>
      </c>
      <c r="C34" s="71">
        <v>2020</v>
      </c>
      <c r="D34" s="80" t="s">
        <v>572</v>
      </c>
      <c r="E34" s="13" t="str">
        <f>IF(VLOOKUP($A34,Courses!$A$2:$F$268,3,FALSE)=0,"",VLOOKUP($A34,Courses!$A$2:$F$268,3,FALSE))</f>
        <v/>
      </c>
      <c r="F34" s="13" t="str">
        <f>IF(VLOOKUP($A34,Courses!$A$2:$F$268,4,FALSE)=0,"",VLOOKUP($A34,Courses!$A$2:$F$268,4,FALSE))</f>
        <v/>
      </c>
      <c r="G34" s="13" t="str">
        <f>VLOOKUP($A34,Courses!$A$2:$F$268,5,FALSE)</f>
        <v>Stat Theory for Economists</v>
      </c>
      <c r="H34" s="70" t="s">
        <v>253</v>
      </c>
      <c r="I34" s="21" t="s">
        <v>252</v>
      </c>
      <c r="J34" s="70" t="s">
        <v>252</v>
      </c>
      <c r="L34" s="120">
        <v>1</v>
      </c>
      <c r="M34" s="71">
        <v>13</v>
      </c>
      <c r="N34" s="21"/>
      <c r="O34" s="21"/>
      <c r="P34" s="12">
        <f>IF($I34="Y",(wCCH1+wCCH2*$AJ34)*($AE34*$AF34)+(1-$AC34)*MIN(wCCH3*$AI34,maxCCH) + $AC34*MIN(wCCH4*$AI34,maxCCH),0)</f>
        <v>28.7</v>
      </c>
      <c r="Q34" s="12">
        <f>IF($J34="Y",(wTCH1+wTCH2*IF($K34="Y",1,0))*$AG34*$AH34+(1-$AC34)*MIN(wTCH3*$AI34,maxTCH) + $AC34*MIN(wTCH4*$AI34,maxTCH),0)</f>
        <v>25.25</v>
      </c>
      <c r="R34" s="10">
        <f>(wOLH1+wOLH2*IF($K34="Y",1,0)+wOLH3*$AD34)*$T34 + wRLH*$U34</f>
        <v>78</v>
      </c>
      <c r="S34" s="10">
        <f>wOTH*$V34 + wRTH*$W34</f>
        <v>0</v>
      </c>
      <c r="T34" s="10">
        <f>IF($L34&gt;0,$M34*$AF34,0)</f>
        <v>26</v>
      </c>
      <c r="U34" s="10">
        <f>IF($L34&gt;1,($L34-1)*$M34*$AF34,0)</f>
        <v>0</v>
      </c>
      <c r="V34" s="10">
        <f>IF($N34&gt;0,$O34*$AH34,0)</f>
        <v>0</v>
      </c>
      <c r="W34" s="10">
        <f>IF($N34&gt;1,($N34-1)*$O34*$AH34,0)</f>
        <v>0</v>
      </c>
      <c r="X34" s="12">
        <f>(wAPH1+wAPH2*IF($K34="Y",1,0)+wAPH3*$AJ34)*IF($AE34&gt;0,$M34/$AE34,0)</f>
        <v>50</v>
      </c>
      <c r="Y34" s="33">
        <f>wCMH*MIN($AI34,maxCMH)*IF($AE34&gt;0,$M34/$AE34,1)</f>
        <v>15</v>
      </c>
      <c r="Z34" s="12">
        <f>wCACH1*($T34+$V34) +((1-$AC34)*MIN(wCACH2*$AI34,maxCACH) + $AC34*MIN(wCACH3*$AI34,maxCACH))*IF($AE34&gt;0,$M34/$AE34,1)</f>
        <v>28.7</v>
      </c>
      <c r="AA34" s="12">
        <f>SUM($P34:$Z34)</f>
        <v>251.64999999999998</v>
      </c>
      <c r="AB34" s="10">
        <f>ROUND(AA34/172.5,1)</f>
        <v>1.5</v>
      </c>
      <c r="AC34" s="14">
        <f>IF(VLOOKUP($A34,Courses!$A$2:$P$268,7,FALSE)="Y",1,0)</f>
        <v>0</v>
      </c>
      <c r="AD34" s="14">
        <f>VLOOKUP($A34,Courses!$A$2:$P$268,8,FALSE)</f>
        <v>0</v>
      </c>
      <c r="AE34" s="14">
        <f>VLOOKUP($A34,Courses!$A$2:$P$268,9,FALSE)</f>
        <v>13</v>
      </c>
      <c r="AF34" s="14">
        <f>VLOOKUP($A34,Courses!$A$2:$P$268,10,FALSE)</f>
        <v>2</v>
      </c>
      <c r="AG34" s="14">
        <f>VLOOKUP($A34,Courses!$A$2:$P$268,11,FALSE)</f>
        <v>12</v>
      </c>
      <c r="AH34" s="15">
        <f>VLOOKUP($A34,Courses!$A$2:$P$268,12,FALSE)</f>
        <v>2</v>
      </c>
      <c r="AI34" s="15">
        <f>VLOOKUP($A34,Courses!$A$2:$P$268,13,FALSE)</f>
        <v>20</v>
      </c>
      <c r="AJ34" s="15">
        <f>VLOOKUP($A34,Courses!$A$2:$P$268,14,FALSE)</f>
        <v>0</v>
      </c>
      <c r="AK34" s="15">
        <f>VLOOKUP($A34,Courses!$A$2:$P$268,15,FALSE)</f>
        <v>0</v>
      </c>
      <c r="AL34" s="15">
        <f>VLOOKUP($A34,Courses!$A$2:$P$268,16,FALSE)</f>
        <v>1</v>
      </c>
    </row>
    <row r="35" spans="1:38">
      <c r="A35" s="13" t="str">
        <f>CONCATENATE(D35,H35)</f>
        <v>ECON2200S2</v>
      </c>
      <c r="B35" s="69" t="s">
        <v>126</v>
      </c>
      <c r="C35" s="83">
        <v>2020</v>
      </c>
      <c r="D35" s="80" t="s">
        <v>28</v>
      </c>
      <c r="E35" s="13" t="str">
        <f>IF(VLOOKUP($A35,Courses!$A$2:$F$268,3,FALSE)=0,"",VLOOKUP($A35,Courses!$A$2:$F$268,3,FALSE))</f>
        <v/>
      </c>
      <c r="F35" s="13" t="str">
        <f>IF(VLOOKUP($A35,Courses!$A$2:$F$268,4,FALSE)=0,"",VLOOKUP($A35,Courses!$A$2:$F$268,4,FALSE))</f>
        <v/>
      </c>
      <c r="G35" s="13" t="str">
        <f>VLOOKUP($A35,Courses!$A$2:$F$268,5,FALSE)</f>
        <v>Management of Financial Institutions</v>
      </c>
      <c r="H35" s="70" t="s">
        <v>254</v>
      </c>
      <c r="I35" s="21" t="s">
        <v>252</v>
      </c>
      <c r="L35" s="120">
        <v>1</v>
      </c>
      <c r="M35" s="71">
        <v>13</v>
      </c>
      <c r="N35" s="21"/>
      <c r="O35" s="21"/>
      <c r="P35" s="12">
        <f>IF($I35="Y",(wCCH1+wCCH2*$AJ35)*($AE35*$AF35)+(1-$AC35)*MIN(wCCH3*$AI35,maxCCH) + $AC35*MIN(wCCH4*$AI35,maxCCH),0)</f>
        <v>56.105000000000004</v>
      </c>
      <c r="Q35" s="12">
        <f>IF($J35="Y",(wTCH1+wTCH2*IF($K35="Y",1,0))*$AG35*$AH35+(1-$AC35)*MIN(wTCH3*$AI35,maxTCH) + $AC35*MIN(wTCH4*$AI35,maxTCH),0)</f>
        <v>0</v>
      </c>
      <c r="R35" s="10">
        <f>(wOLH1+wOLH2*IF($K35="Y",1,0)+wOLH3*$AD35)*$T35 + wRLH*$U35</f>
        <v>78</v>
      </c>
      <c r="S35" s="10">
        <f>wOTH*$V35 + wRTH*$W35</f>
        <v>0</v>
      </c>
      <c r="T35" s="10">
        <f>IF($L35&gt;0,$M35*$AF35,0)</f>
        <v>26</v>
      </c>
      <c r="U35" s="10">
        <f>IF($L35&gt;1,($L35-1)*$M35*$AF35,0)</f>
        <v>0</v>
      </c>
      <c r="V35" s="10">
        <f>IF($N35&gt;0,$O35*$AH35,0)</f>
        <v>0</v>
      </c>
      <c r="W35" s="10">
        <f>IF($N35&gt;1,($N35-1)*$O35*$AH35,0)</f>
        <v>0</v>
      </c>
      <c r="X35" s="12">
        <f>(wAPH1+wAPH2*IF($K35="Y",1,0)+wAPH3*$AJ35)*IF($AE35&gt;0,$M35/$AE35,0)</f>
        <v>50</v>
      </c>
      <c r="Y35" s="33">
        <f>wCMH*MIN($AI35,maxCMH)*IF($AE35&gt;0,$M35/$AE35,1)</f>
        <v>15</v>
      </c>
      <c r="Z35" s="12">
        <f>wCACH1*($T35+$V35) +((1-$AC35)*MIN(wCACH2*$AI35,maxCACH) + $AC35*MIN(wCACH3*$AI35,maxCACH))*IF($AE35&gt;0,$M35/$AE35,1)</f>
        <v>56.105000000000004</v>
      </c>
      <c r="AA35" s="12">
        <f>SUM($P35:$Z35)</f>
        <v>281.21000000000004</v>
      </c>
      <c r="AB35" s="10">
        <f>ROUND(AA35/172.5,1)</f>
        <v>1.6</v>
      </c>
      <c r="AC35" s="14">
        <f>IF(VLOOKUP($A35,Courses!$A$2:$P$268,7,FALSE)="Y",1,0)</f>
        <v>0</v>
      </c>
      <c r="AD35" s="14">
        <f>VLOOKUP($A35,Courses!$A$2:$P$268,8,FALSE)</f>
        <v>0</v>
      </c>
      <c r="AE35" s="14">
        <f>VLOOKUP($A35,Courses!$A$2:$P$268,9,FALSE)</f>
        <v>13</v>
      </c>
      <c r="AF35" s="14">
        <f>VLOOKUP($A35,Courses!$A$2:$P$268,10,FALSE)</f>
        <v>2</v>
      </c>
      <c r="AG35" s="14">
        <f>VLOOKUP($A35,Courses!$A$2:$P$268,11,FALSE)</f>
        <v>12</v>
      </c>
      <c r="AH35" s="15">
        <f>VLOOKUP($A35,Courses!$A$2:$P$268,12,FALSE)</f>
        <v>1</v>
      </c>
      <c r="AI35" s="15">
        <f>VLOOKUP($A35,Courses!$A$2:$P$268,13,FALSE)</f>
        <v>223</v>
      </c>
      <c r="AJ35" s="15">
        <f>VLOOKUP($A35,Courses!$A$2:$P$268,14,FALSE)</f>
        <v>0</v>
      </c>
      <c r="AK35" s="15">
        <f>VLOOKUP($A35,Courses!$A$2:$P$268,15,FALSE)</f>
        <v>0</v>
      </c>
      <c r="AL35" s="15">
        <f>VLOOKUP($A35,Courses!$A$2:$P$268,16,FALSE)</f>
        <v>6</v>
      </c>
    </row>
    <row r="36" spans="1:38">
      <c r="A36" s="13" t="str">
        <f>CONCATENATE(D36,H36)</f>
        <v>ECON2200S3</v>
      </c>
      <c r="B36" s="69" t="s">
        <v>126</v>
      </c>
      <c r="C36" s="83">
        <v>2020</v>
      </c>
      <c r="D36" s="80" t="s">
        <v>28</v>
      </c>
      <c r="E36" s="13" t="str">
        <f>IF(VLOOKUP($A36,Courses!$A$2:$F$268,3,FALSE)=0,"",VLOOKUP($A36,Courses!$A$2:$F$268,3,FALSE))</f>
        <v/>
      </c>
      <c r="F36" s="13" t="str">
        <f>IF(VLOOKUP($A36,Courses!$A$2:$F$268,4,FALSE)=0,"",VLOOKUP($A36,Courses!$A$2:$F$268,4,FALSE))</f>
        <v/>
      </c>
      <c r="G36" s="13" t="str">
        <f>VLOOKUP($A36,Courses!$A$2:$F$268,5,FALSE)</f>
        <v>Management of Financial Institutions</v>
      </c>
      <c r="H36" s="70" t="s">
        <v>255</v>
      </c>
      <c r="I36" s="21" t="s">
        <v>252</v>
      </c>
      <c r="L36" s="70">
        <v>1</v>
      </c>
      <c r="M36" s="71">
        <v>12</v>
      </c>
      <c r="N36" s="21"/>
      <c r="P36" s="12">
        <f>IF($I36="Y",(wCCH1+wCCH2*$AJ36)*($AE36*$AF36)+(1-$AC36)*MIN(wCCH3*$AI36,maxCCH) + $AC36*MIN(wCCH4*$AI36,maxCCH),0)</f>
        <v>52.755000000000003</v>
      </c>
      <c r="Q36" s="12">
        <f>IF($J36="Y",(wTCH1+wTCH2*IF($K36="Y",1,0))*$AG36*$AH36+(1-$AC36)*MIN(wTCH3*$AI36,maxTCH) + $AC36*MIN(wTCH4*$AI36,maxTCH),0)</f>
        <v>0</v>
      </c>
      <c r="R36" s="10">
        <f>(wOLH1+wOLH2*IF($K36="Y",1,0)+wOLH3*$AD36)*$T36 + wRLH*$U36</f>
        <v>72</v>
      </c>
      <c r="S36" s="10">
        <f>wOTH*$V36 + wRTH*$W36</f>
        <v>0</v>
      </c>
      <c r="T36" s="10">
        <f>IF($L36&gt;0,$M36*$AF36,0)</f>
        <v>24</v>
      </c>
      <c r="U36" s="10">
        <f>IF($L36&gt;1,($L36-1)*$M36*$AF36,0)</f>
        <v>0</v>
      </c>
      <c r="V36" s="10">
        <f>IF($N36&gt;0,$O36*$AH36,0)</f>
        <v>0</v>
      </c>
      <c r="W36" s="10">
        <f>IF($N36&gt;1,($N36-1)*$O36*$AH36,0)</f>
        <v>0</v>
      </c>
      <c r="X36" s="12">
        <f>(wAPH1+wAPH2*IF($K36="Y",1,0)+wAPH3*$AJ36)*IF($AE36&gt;0,$M36/$AE36,0)</f>
        <v>50</v>
      </c>
      <c r="Y36" s="33">
        <f>wCMH*MIN($AI36,maxCMH)*IF($AE36&gt;0,$M36/$AE36,1)</f>
        <v>15</v>
      </c>
      <c r="Z36" s="12">
        <f>wCACH1*($T36+$V36) +((1-$AC36)*MIN(wCACH2*$AI36,maxCACH) + $AC36*MIN(wCACH3*$AI36,maxCACH))*IF($AE36&gt;0,$M36/$AE36,1)</f>
        <v>52.755000000000003</v>
      </c>
      <c r="AA36" s="12">
        <f>SUM($P36:$Z36)</f>
        <v>266.51</v>
      </c>
      <c r="AB36" s="10">
        <f>ROUND(AA36/172.5,1)</f>
        <v>1.5</v>
      </c>
      <c r="AC36" s="14">
        <f>IF(VLOOKUP($A36,Courses!$A$2:$P$268,7,FALSE)="Y",1,0)</f>
        <v>0</v>
      </c>
      <c r="AD36" s="14">
        <f>VLOOKUP($A36,Courses!$A$2:$P$268,8,FALSE)</f>
        <v>0</v>
      </c>
      <c r="AE36" s="14">
        <f>VLOOKUP($A36,Courses!$A$2:$P$268,9,FALSE)</f>
        <v>12</v>
      </c>
      <c r="AF36" s="14">
        <f>VLOOKUP($A36,Courses!$A$2:$P$268,10,FALSE)</f>
        <v>2</v>
      </c>
      <c r="AG36" s="14">
        <f>VLOOKUP($A36,Courses!$A$2:$P$268,11,FALSE)</f>
        <v>12</v>
      </c>
      <c r="AH36" s="15">
        <f>VLOOKUP($A36,Courses!$A$2:$P$268,12,FALSE)</f>
        <v>1</v>
      </c>
      <c r="AI36" s="15">
        <f>VLOOKUP($A36,Courses!$A$2:$P$268,13,FALSE)</f>
        <v>213</v>
      </c>
      <c r="AJ36" s="15">
        <f>VLOOKUP($A36,Courses!$A$2:$P$268,14,FALSE)</f>
        <v>0</v>
      </c>
      <c r="AK36" s="15">
        <f>VLOOKUP($A36,Courses!$A$2:$P$268,15,FALSE)</f>
        <v>0</v>
      </c>
      <c r="AL36" s="15">
        <f>VLOOKUP($A36,Courses!$A$2:$P$268,16,FALSE)</f>
        <v>6</v>
      </c>
    </row>
    <row r="37" spans="1:38">
      <c r="A37" s="13" t="str">
        <f>CONCATENATE(D37,H37)</f>
        <v>ECON2300S1</v>
      </c>
      <c r="B37" s="69" t="s">
        <v>295</v>
      </c>
      <c r="C37" s="83">
        <v>2020</v>
      </c>
      <c r="D37" s="80" t="s">
        <v>93</v>
      </c>
      <c r="E37" s="13" t="str">
        <f>IF(VLOOKUP($A37,Courses!$A$2:$F$268,3,FALSE)=0,"",VLOOKUP($A37,Courses!$A$2:$F$268,3,FALSE))</f>
        <v/>
      </c>
      <c r="F37" s="13" t="str">
        <f>IF(VLOOKUP($A37,Courses!$A$2:$F$268,4,FALSE)=0,"",VLOOKUP($A37,Courses!$A$2:$F$268,4,FALSE))</f>
        <v/>
      </c>
      <c r="G37" s="13" t="str">
        <f>VLOOKUP($A37,Courses!$A$2:$F$268,5,FALSE)</f>
        <v>Introductory Econometrics</v>
      </c>
      <c r="H37" s="70" t="s">
        <v>253</v>
      </c>
      <c r="I37" s="21" t="s">
        <v>252</v>
      </c>
      <c r="L37" s="120">
        <v>1</v>
      </c>
      <c r="M37" s="71">
        <v>13</v>
      </c>
      <c r="N37" s="21">
        <v>6</v>
      </c>
      <c r="O37" s="21">
        <v>12</v>
      </c>
      <c r="P37" s="12">
        <f>IF($I37="Y",(wCCH1+wCCH2*$AJ37)*($AE37*$AF37)+(1-$AC37)*MIN(wCCH3*$AI37,maxCCH) + $AC37*MIN(wCCH4*$AI37,maxCCH),0)</f>
        <v>46.7</v>
      </c>
      <c r="Q37" s="12">
        <f>IF($J37="Y",(wTCH1+wTCH2*IF($K37="Y",1,0))*$AG37*$AH37+(1-$AC37)*MIN(wTCH3*$AI37,maxTCH) + $AC37*MIN(wTCH4*$AI37,maxTCH),0)</f>
        <v>0</v>
      </c>
      <c r="R37" s="10">
        <f>(wOLH1+wOLH2*IF($K37="Y",1,0)+wOLH3*$AD37)*$T37 + wRLH*$U37</f>
        <v>130</v>
      </c>
      <c r="S37" s="10">
        <f>wOTH*$V37 + wRTH*$W37</f>
        <v>24</v>
      </c>
      <c r="T37" s="10">
        <f>IF($L37&gt;0,$M37*$AF37,0)</f>
        <v>26</v>
      </c>
      <c r="U37" s="10">
        <f>IF($L37&gt;1,($L37-1)*$M37*$AF37,0)</f>
        <v>0</v>
      </c>
      <c r="V37" s="10">
        <f>IF($N37&gt;0,$O37*$AH37,0)</f>
        <v>24</v>
      </c>
      <c r="W37" s="10">
        <f>IF($N37&gt;1,($N37-1)*$O37*$AH37,0)</f>
        <v>120</v>
      </c>
      <c r="X37" s="12">
        <f>(wAPH1+wAPH2*IF($K37="Y",1,0)+wAPH3*$AJ37)*IF($AE37&gt;0,$M37/$AE37,0)</f>
        <v>50</v>
      </c>
      <c r="Y37" s="33">
        <f>wCMH*MIN($AI37,maxCMH)*IF($AE37&gt;0,$M37/$AE37,1)</f>
        <v>15</v>
      </c>
      <c r="Z37" s="12">
        <f>wCACH1*($T37+$V37) +((1-$AC37)*MIN(wCACH2*$AI37,maxCACH) + $AC37*MIN(wCACH3*$AI37,maxCACH))*IF($AE37&gt;0,$M37/$AE37,1)</f>
        <v>70.7</v>
      </c>
      <c r="AA37" s="12">
        <f>SUM($P37:$Z37)</f>
        <v>506.4</v>
      </c>
      <c r="AB37" s="10">
        <f>ROUND(AA37/172.5,1)</f>
        <v>2.9</v>
      </c>
      <c r="AC37" s="14">
        <f>IF(VLOOKUP($A37,Courses!$A$2:$P$268,7,FALSE)="Y",1,0)</f>
        <v>1</v>
      </c>
      <c r="AD37" s="14">
        <f>VLOOKUP($A37,Courses!$A$2:$P$268,8,FALSE)</f>
        <v>0.5</v>
      </c>
      <c r="AE37" s="14">
        <f>VLOOKUP($A37,Courses!$A$2:$P$268,9,FALSE)</f>
        <v>13</v>
      </c>
      <c r="AF37" s="14">
        <f>VLOOKUP($A37,Courses!$A$2:$P$268,10,FALSE)</f>
        <v>2</v>
      </c>
      <c r="AG37" s="14">
        <f>VLOOKUP($A37,Courses!$A$2:$P$268,11,FALSE)</f>
        <v>12</v>
      </c>
      <c r="AH37" s="15">
        <f>VLOOKUP($A37,Courses!$A$2:$P$268,12,FALSE)</f>
        <v>2</v>
      </c>
      <c r="AI37" s="15">
        <f>VLOOKUP($A37,Courses!$A$2:$P$268,13,FALSE)</f>
        <v>460</v>
      </c>
      <c r="AJ37" s="15">
        <f>VLOOKUP($A37,Courses!$A$2:$P$268,14,FALSE)</f>
        <v>0</v>
      </c>
      <c r="AK37" s="15">
        <f>VLOOKUP($A37,Courses!$A$2:$P$268,15,FALSE)</f>
        <v>0</v>
      </c>
      <c r="AL37" s="15">
        <f>VLOOKUP($A37,Courses!$A$2:$P$268,16,FALSE)</f>
        <v>12</v>
      </c>
    </row>
    <row r="38" spans="1:38">
      <c r="A38" s="13" t="str">
        <f>CONCATENATE(D38,H38)</f>
        <v>ECON2300S2</v>
      </c>
      <c r="B38" s="166" t="s">
        <v>122</v>
      </c>
      <c r="C38" s="70">
        <v>2020</v>
      </c>
      <c r="D38" s="80" t="s">
        <v>93</v>
      </c>
      <c r="E38" s="13" t="str">
        <f>IF(VLOOKUP($A38,Courses!$A$2:$F$268,3,FALSE)=0,"",VLOOKUP($A38,Courses!$A$2:$F$268,3,FALSE))</f>
        <v/>
      </c>
      <c r="F38" s="13" t="str">
        <f>IF(VLOOKUP($A38,Courses!$A$2:$F$268,4,FALSE)=0,"",VLOOKUP($A38,Courses!$A$2:$F$268,4,FALSE))</f>
        <v/>
      </c>
      <c r="G38" s="13" t="str">
        <f>VLOOKUP($A38,Courses!$A$2:$F$268,5,FALSE)</f>
        <v>Introductory Econometrics</v>
      </c>
      <c r="H38" s="70" t="s">
        <v>254</v>
      </c>
      <c r="I38" s="21" t="s">
        <v>252</v>
      </c>
      <c r="L38" s="120">
        <v>1</v>
      </c>
      <c r="M38" s="71">
        <v>13</v>
      </c>
      <c r="N38" s="21"/>
      <c r="O38" s="21"/>
      <c r="P38" s="12">
        <f>IF($I38="Y",(wCCH1+wCCH2*$AJ38)*($AE38*$AF38)+(1-$AC38)*MIN(wCCH3*$AI38,maxCCH) + $AC38*MIN(wCCH4*$AI38,maxCCH),0)</f>
        <v>48.32</v>
      </c>
      <c r="Q38" s="12">
        <f>IF($J38="Y",(wTCH1+wTCH2*IF($K38="Y",1,0))*$AG38*$AH38+(1-$AC38)*MIN(wTCH3*$AI38,maxTCH) + $AC38*MIN(wTCH4*$AI38,maxTCH),0)</f>
        <v>0</v>
      </c>
      <c r="R38" s="10">
        <f>(wOLH1+wOLH2*IF($K38="Y",1,0)+wOLH3*$AD38)*$T38 + wRLH*$U38</f>
        <v>130</v>
      </c>
      <c r="S38" s="10">
        <f>wOTH*$V38 + wRTH*$W38</f>
        <v>0</v>
      </c>
      <c r="T38" s="10">
        <f>IF($L38&gt;0,$M38*$AF38,0)</f>
        <v>26</v>
      </c>
      <c r="U38" s="10">
        <f>IF($L38&gt;1,($L38-1)*$M38*$AF38,0)</f>
        <v>0</v>
      </c>
      <c r="V38" s="10">
        <f>IF($N38&gt;0,$O38*$AH38,0)</f>
        <v>0</v>
      </c>
      <c r="W38" s="10">
        <f>IF($N38&gt;1,($N38-1)*$O38*$AH38,0)</f>
        <v>0</v>
      </c>
      <c r="X38" s="12">
        <f>(wAPH1+wAPH2*IF($K38="Y",1,0)+wAPH3*$AJ38)*IF($AE38&gt;0,$M38/$AE38,0)</f>
        <v>50</v>
      </c>
      <c r="Y38" s="33">
        <f>wCMH*MIN($AI38,maxCMH)*IF($AE38&gt;0,$M38/$AE38,1)</f>
        <v>15</v>
      </c>
      <c r="Z38" s="12">
        <f>wCACH1*($T38+$V38) +((1-$AC38)*MIN(wCACH2*$AI38,maxCACH) + $AC38*MIN(wCACH3*$AI38,maxCACH))*IF($AE38&gt;0,$M38/$AE38,1)</f>
        <v>48.32</v>
      </c>
      <c r="AA38" s="12">
        <f>SUM($P38:$Z38)</f>
        <v>317.64</v>
      </c>
      <c r="AB38" s="10">
        <f>ROUND(AA38/172.5,1)</f>
        <v>1.8</v>
      </c>
      <c r="AC38" s="14">
        <f>IF(VLOOKUP($A38,Courses!$A$2:$P$268,7,FALSE)="Y",1,0)</f>
        <v>1</v>
      </c>
      <c r="AD38" s="14">
        <f>VLOOKUP($A38,Courses!$A$2:$P$268,8,FALSE)</f>
        <v>0.5</v>
      </c>
      <c r="AE38" s="14">
        <f>VLOOKUP($A38,Courses!$A$2:$P$268,9,FALSE)</f>
        <v>13</v>
      </c>
      <c r="AF38" s="14">
        <f>VLOOKUP($A38,Courses!$A$2:$P$268,10,FALSE)</f>
        <v>2</v>
      </c>
      <c r="AG38" s="14">
        <f>VLOOKUP($A38,Courses!$A$2:$P$268,11,FALSE)</f>
        <v>12</v>
      </c>
      <c r="AH38" s="15">
        <f>VLOOKUP($A38,Courses!$A$2:$P$268,12,FALSE)</f>
        <v>2</v>
      </c>
      <c r="AI38" s="15">
        <f>VLOOKUP($A38,Courses!$A$2:$P$268,13,FALSE)</f>
        <v>496</v>
      </c>
      <c r="AJ38" s="15">
        <f>VLOOKUP($A38,Courses!$A$2:$P$268,14,FALSE)</f>
        <v>0</v>
      </c>
      <c r="AK38" s="15">
        <f>VLOOKUP($A38,Courses!$A$2:$P$268,15,FALSE)</f>
        <v>0</v>
      </c>
      <c r="AL38" s="15">
        <f>VLOOKUP($A38,Courses!$A$2:$P$268,16,FALSE)</f>
        <v>13</v>
      </c>
    </row>
    <row r="39" spans="1:38">
      <c r="A39" s="13" t="str">
        <f>CONCATENATE(D39,H39)</f>
        <v>ECON2320S2</v>
      </c>
      <c r="B39" s="69" t="s">
        <v>16</v>
      </c>
      <c r="C39" s="71">
        <v>2020</v>
      </c>
      <c r="D39" s="80" t="s">
        <v>91</v>
      </c>
      <c r="E39" s="13" t="str">
        <f>IF(VLOOKUP($A39,Courses!$A$2:$F$268,3,FALSE)=0,"",VLOOKUP($A39,Courses!$A$2:$F$268,3,FALSE))</f>
        <v/>
      </c>
      <c r="F39" s="13" t="str">
        <f>IF(VLOOKUP($A39,Courses!$A$2:$F$268,4,FALSE)=0,"",VLOOKUP($A39,Courses!$A$2:$F$268,4,FALSE))</f>
        <v/>
      </c>
      <c r="G39" s="13" t="str">
        <f>VLOOKUP($A39,Courses!$A$2:$F$268,5,FALSE)</f>
        <v>Bus &amp; Econ Decision Tech</v>
      </c>
      <c r="H39" s="70" t="s">
        <v>254</v>
      </c>
      <c r="I39" s="21" t="s">
        <v>252</v>
      </c>
      <c r="J39" s="70" t="s">
        <v>252</v>
      </c>
      <c r="L39" s="120">
        <v>1</v>
      </c>
      <c r="M39" s="71">
        <v>13</v>
      </c>
      <c r="N39" s="21"/>
      <c r="O39" s="21"/>
      <c r="P39" s="12">
        <f>IF($I39="Y",(wCCH1+wCCH2*$AJ39)*($AE39*$AF39)+(1-$AC39)*MIN(wCCH3*$AI39,maxCCH) + $AC39*MIN(wCCH4*$AI39,maxCCH),0)</f>
        <v>42.2</v>
      </c>
      <c r="Q39" s="12">
        <f>IF($J39="Y",(wTCH1+wTCH2*IF($K39="Y",1,0))*$AG39*$AH39+(1-$AC39)*MIN(wTCH3*$AI39,maxTCH) + $AC39*MIN(wTCH4*$AI39,maxTCH),0)</f>
        <v>25.5</v>
      </c>
      <c r="R39" s="10">
        <f>(wOLH1+wOLH2*IF($K39="Y",1,0)+wOLH3*$AD39)*$T39 + wRLH*$U39</f>
        <v>78</v>
      </c>
      <c r="S39" s="10">
        <f>wOTH*$V39 + wRTH*$W39</f>
        <v>0</v>
      </c>
      <c r="T39" s="10">
        <f>IF($L39&gt;0,$M39*$AF39,0)</f>
        <v>26</v>
      </c>
      <c r="U39" s="10">
        <f>IF($L39&gt;1,($L39-1)*$M39*$AF39,0)</f>
        <v>0</v>
      </c>
      <c r="V39" s="10">
        <f>IF($N39&gt;0,$O39*$AH39,0)</f>
        <v>0</v>
      </c>
      <c r="W39" s="10">
        <f>IF($N39&gt;1,($N39-1)*$O39*$AH39,0)</f>
        <v>0</v>
      </c>
      <c r="X39" s="12">
        <f>(wAPH1+wAPH2*IF($K39="Y",1,0)+wAPH3*$AJ39)*IF($AE39&gt;0,$M39/$AE39,0)</f>
        <v>50</v>
      </c>
      <c r="Y39" s="33">
        <f>wCMH*MIN($AI39,maxCMH)*IF($AE39&gt;0,$M39/$AE39,1)</f>
        <v>15</v>
      </c>
      <c r="Z39" s="12">
        <f>wCACH1*($T39+$V39) +((1-$AC39)*MIN(wCACH2*$AI39,maxCACH) + $AC39*MIN(wCACH3*$AI39,maxCACH))*IF($AE39&gt;0,$M39/$AE39,1)</f>
        <v>42.2</v>
      </c>
      <c r="AA39" s="12">
        <f>SUM($P39:$Z39)</f>
        <v>278.89999999999998</v>
      </c>
      <c r="AB39" s="10">
        <f>ROUND(AA39/172.5,1)</f>
        <v>1.6</v>
      </c>
      <c r="AC39" s="14">
        <f>IF(VLOOKUP($A39,Courses!$A$2:$P$268,7,FALSE)="Y",1,0)</f>
        <v>0</v>
      </c>
      <c r="AD39" s="14">
        <f>VLOOKUP($A39,Courses!$A$2:$P$268,8,FALSE)</f>
        <v>0</v>
      </c>
      <c r="AE39" s="14">
        <f>VLOOKUP($A39,Courses!$A$2:$P$268,9,FALSE)</f>
        <v>13</v>
      </c>
      <c r="AF39" s="14">
        <f>VLOOKUP($A39,Courses!$A$2:$P$268,10,FALSE)</f>
        <v>2</v>
      </c>
      <c r="AG39" s="14">
        <f>VLOOKUP($A39,Courses!$A$2:$P$268,11,FALSE)</f>
        <v>12</v>
      </c>
      <c r="AH39" s="15">
        <f>VLOOKUP($A39,Courses!$A$2:$P$268,12,FALSE)</f>
        <v>1.5</v>
      </c>
      <c r="AI39" s="15">
        <f>VLOOKUP($A39,Courses!$A$2:$P$268,13,FALSE)</f>
        <v>120</v>
      </c>
      <c r="AJ39" s="15">
        <f>VLOOKUP($A39,Courses!$A$2:$P$268,14,FALSE)</f>
        <v>0</v>
      </c>
      <c r="AK39" s="15">
        <f>VLOOKUP($A39,Courses!$A$2:$P$268,15,FALSE)</f>
        <v>0</v>
      </c>
      <c r="AL39" s="15">
        <f>VLOOKUP($A39,Courses!$A$2:$P$268,16,FALSE)</f>
        <v>3</v>
      </c>
    </row>
    <row r="40" spans="1:38">
      <c r="A40" s="13" t="str">
        <f>CONCATENATE(D40,H40)</f>
        <v>ECON2333S2</v>
      </c>
      <c r="B40" s="69" t="s">
        <v>130</v>
      </c>
      <c r="C40" s="70">
        <v>2019</v>
      </c>
      <c r="D40" s="80" t="s">
        <v>236</v>
      </c>
      <c r="E40" s="13" t="str">
        <f>IF(VLOOKUP($A40,Courses!$A$2:$F$268,3,FALSE)=0,"",VLOOKUP($A40,Courses!$A$2:$F$268,3,FALSE))</f>
        <v/>
      </c>
      <c r="F40" s="13" t="str">
        <f>IF(VLOOKUP($A40,Courses!$A$2:$F$268,4,FALSE)=0,"",VLOOKUP($A40,Courses!$A$2:$F$268,4,FALSE))</f>
        <v/>
      </c>
      <c r="G40" s="13" t="str">
        <f>VLOOKUP($A40,Courses!$A$2:$F$268,5,FALSE)</f>
        <v>Big Data &amp; Machine Learning for Econ &amp; Finance</v>
      </c>
      <c r="H40" s="70" t="s">
        <v>254</v>
      </c>
      <c r="I40" s="21" t="s">
        <v>252</v>
      </c>
      <c r="J40" s="70" t="s">
        <v>252</v>
      </c>
      <c r="L40" s="120">
        <v>1</v>
      </c>
      <c r="M40" s="71">
        <v>13</v>
      </c>
      <c r="N40" s="21"/>
      <c r="O40" s="21"/>
      <c r="P40" s="12">
        <f>IF($I40="Y",(wCCH1+wCCH2*$AJ40)*($AE40*$AF40)+(1-$AC40)*MIN(wCCH3*$AI40,maxCCH) + $AC40*MIN(wCCH4*$AI40,maxCCH),0)</f>
        <v>33.56</v>
      </c>
      <c r="Q40" s="12">
        <f>IF($J40="Y",(wTCH1+wTCH2*IF($K40="Y",1,0))*$AG40*$AH40+(1-$AC40)*MIN(wTCH3*$AI40,maxTCH) + $AC40*MIN(wTCH4*$AI40,maxTCH),0)</f>
        <v>27.5</v>
      </c>
      <c r="R40" s="10">
        <f>(wOLH1+wOLH2*IF($K40="Y",1,0)+wOLH3*$AD40)*$T40 + wRLH*$U40</f>
        <v>78</v>
      </c>
      <c r="S40" s="10">
        <f>wOTH*$V40 + wRTH*$W40</f>
        <v>0</v>
      </c>
      <c r="T40" s="10">
        <f>IF($L40&gt;0,$M40*$AF40,0)</f>
        <v>26</v>
      </c>
      <c r="U40" s="10">
        <f>IF($L40&gt;1,($L40-1)*$M40*$AF40,0)</f>
        <v>0</v>
      </c>
      <c r="V40" s="10">
        <f>IF($N40&gt;0,$O40*$AH40,0)</f>
        <v>0</v>
      </c>
      <c r="W40" s="10">
        <f>IF($N40&gt;1,($N40-1)*$O40*$AH40,0)</f>
        <v>0</v>
      </c>
      <c r="X40" s="12">
        <f>(wAPH1+wAPH2*IF($K40="Y",1,0)+wAPH3*$AJ40)*IF($AE40&gt;0,$M40/$AE40,0)</f>
        <v>50</v>
      </c>
      <c r="Y40" s="33">
        <f>wCMH*MIN($AI40,maxCMH)*IF($AE40&gt;0,$M40/$AE40,1)</f>
        <v>15</v>
      </c>
      <c r="Z40" s="12">
        <f>wCACH1*($T40+$V40) +((1-$AC40)*MIN(wCACH2*$AI40,maxCACH) + $AC40*MIN(wCACH3*$AI40,maxCACH))*IF($AE40&gt;0,$M40/$AE40,1)</f>
        <v>33.56</v>
      </c>
      <c r="AA40" s="12">
        <f>SUM($P40:$Z40)</f>
        <v>263.62</v>
      </c>
      <c r="AB40" s="10">
        <f>ROUND(AA40/172.5,1)</f>
        <v>1.5</v>
      </c>
      <c r="AC40" s="14">
        <f>IF(VLOOKUP($A40,Courses!$A$2:$P$268,7,FALSE)="Y",1,0)</f>
        <v>0</v>
      </c>
      <c r="AD40" s="14">
        <f>VLOOKUP($A40,Courses!$A$2:$P$268,8,FALSE)</f>
        <v>0</v>
      </c>
      <c r="AE40" s="14">
        <f>VLOOKUP($A40,Courses!$A$2:$P$268,9,FALSE)</f>
        <v>13</v>
      </c>
      <c r="AF40" s="14">
        <f>VLOOKUP($A40,Courses!$A$2:$P$268,10,FALSE)</f>
        <v>2</v>
      </c>
      <c r="AG40" s="14">
        <f>VLOOKUP($A40,Courses!$A$2:$P$268,11,FALSE)</f>
        <v>12</v>
      </c>
      <c r="AH40" s="15">
        <f>VLOOKUP($A40,Courses!$A$2:$P$268,12,FALSE)</f>
        <v>2</v>
      </c>
      <c r="AI40" s="15">
        <f>VLOOKUP($A40,Courses!$A$2:$P$268,13,FALSE)</f>
        <v>56</v>
      </c>
      <c r="AJ40" s="15">
        <f>VLOOKUP($A40,Courses!$A$2:$P$268,14,FALSE)</f>
        <v>0</v>
      </c>
      <c r="AK40" s="15">
        <f>VLOOKUP($A40,Courses!$A$2:$P$268,15,FALSE)</f>
        <v>0</v>
      </c>
      <c r="AL40" s="15">
        <f>VLOOKUP($A40,Courses!$A$2:$P$268,16,FALSE)</f>
        <v>2</v>
      </c>
    </row>
    <row r="41" spans="1:38">
      <c r="A41" s="13" t="str">
        <f>CONCATENATE(D41,H41)</f>
        <v>ECON2410S1</v>
      </c>
      <c r="B41" s="69" t="s">
        <v>121</v>
      </c>
      <c r="C41" s="83">
        <v>2020</v>
      </c>
      <c r="D41" s="80" t="s">
        <v>61</v>
      </c>
      <c r="E41" s="13" t="str">
        <f>IF(VLOOKUP($A41,Courses!$A$2:$F$268,3,FALSE)=0,"",VLOOKUP($A41,Courses!$A$2:$F$268,3,FALSE))</f>
        <v/>
      </c>
      <c r="F41" s="13" t="str">
        <f>IF(VLOOKUP($A41,Courses!$A$2:$F$268,4,FALSE)=0,"",VLOOKUP($A41,Courses!$A$2:$F$268,4,FALSE))</f>
        <v/>
      </c>
      <c r="G41" s="13" t="str">
        <f>VLOOKUP($A41,Courses!$A$2:$F$268,5,FALSE)</f>
        <v>Economics of Business Strategy</v>
      </c>
      <c r="H41" s="70" t="s">
        <v>253</v>
      </c>
      <c r="I41" s="21" t="s">
        <v>252</v>
      </c>
      <c r="J41" s="70" t="s">
        <v>252</v>
      </c>
      <c r="L41" s="120">
        <v>1</v>
      </c>
      <c r="M41" s="71">
        <v>13</v>
      </c>
      <c r="N41" s="21"/>
      <c r="O41" s="21"/>
      <c r="P41" s="12">
        <f>IF($I41="Y",(wCCH1+wCCH2*$AJ41)*($AE41*$AF41)+(1-$AC41)*MIN(wCCH3*$AI41,maxCCH) + $AC41*MIN(wCCH4*$AI41,maxCCH),0)</f>
        <v>45.575000000000003</v>
      </c>
      <c r="Q41" s="12">
        <f>IF($J41="Y",(wTCH1+wTCH2*IF($K41="Y",1,0))*$AG41*$AH41+(1-$AC41)*MIN(wTCH3*$AI41,maxTCH) + $AC41*MIN(wTCH4*$AI41,maxTCH),0)</f>
        <v>22.048000000000002</v>
      </c>
      <c r="R41" s="10">
        <f>(wOLH1+wOLH2*IF($K41="Y",1,0)+wOLH3*$AD41)*$T41 + wRLH*$U41</f>
        <v>78</v>
      </c>
      <c r="S41" s="10">
        <f>wOTH*$V41 + wRTH*$W41</f>
        <v>0</v>
      </c>
      <c r="T41" s="10">
        <f>IF($L41&gt;0,$M41*$AF41,0)</f>
        <v>26</v>
      </c>
      <c r="U41" s="10">
        <f>IF($L41&gt;1,($L41-1)*$M41*$AF41,0)</f>
        <v>0</v>
      </c>
      <c r="V41" s="10">
        <f>IF($N41&gt;0,$O41*$AH41,0)</f>
        <v>0</v>
      </c>
      <c r="W41" s="10">
        <f>IF($N41&gt;1,($N41-1)*$O41*$AH41,0)</f>
        <v>0</v>
      </c>
      <c r="X41" s="12">
        <f>(wAPH1+wAPH2*IF($K41="Y",1,0)+wAPH3*$AJ41)*IF($AE41&gt;0,$M41/$AE41,0)</f>
        <v>50</v>
      </c>
      <c r="Y41" s="33">
        <f>wCMH*MIN($AI41,maxCMH)*IF($AE41&gt;0,$M41/$AE41,1)</f>
        <v>15</v>
      </c>
      <c r="Z41" s="12">
        <f>wCACH1*($T41+$V41) +((1-$AC41)*MIN(wCACH2*$AI41,maxCACH) + $AC41*MIN(wCACH3*$AI41,maxCACH))*IF($AE41&gt;0,$M41/$AE41,1)</f>
        <v>45.575000000000003</v>
      </c>
      <c r="AA41" s="12">
        <f>SUM($P41:$Z41)</f>
        <v>282.19799999999998</v>
      </c>
      <c r="AB41" s="10">
        <f>ROUND(AA41/172.5,1)</f>
        <v>1.6</v>
      </c>
      <c r="AC41" s="14">
        <f>IF(VLOOKUP($A41,Courses!$A$2:$P$268,7,FALSE)="Y",1,0)</f>
        <v>1</v>
      </c>
      <c r="AD41" s="14">
        <f>VLOOKUP($A41,Courses!$A$2:$P$268,8,FALSE)</f>
        <v>0</v>
      </c>
      <c r="AE41" s="14">
        <f>VLOOKUP($A41,Courses!$A$2:$P$268,9,FALSE)</f>
        <v>13</v>
      </c>
      <c r="AF41" s="14">
        <f>VLOOKUP($A41,Courses!$A$2:$P$268,10,FALSE)</f>
        <v>2</v>
      </c>
      <c r="AG41" s="14">
        <f>VLOOKUP($A41,Courses!$A$2:$P$268,11,FALSE)</f>
        <v>13</v>
      </c>
      <c r="AH41" s="15">
        <f>VLOOKUP($A41,Courses!$A$2:$P$268,12,FALSE)</f>
        <v>1</v>
      </c>
      <c r="AI41" s="15">
        <f>VLOOKUP($A41,Courses!$A$2:$P$268,13,FALSE)</f>
        <v>435</v>
      </c>
      <c r="AJ41" s="15">
        <f>VLOOKUP($A41,Courses!$A$2:$P$268,14,FALSE)</f>
        <v>0</v>
      </c>
      <c r="AK41" s="15">
        <f>VLOOKUP($A41,Courses!$A$2:$P$268,15,FALSE)</f>
        <v>0</v>
      </c>
      <c r="AL41" s="15">
        <f>VLOOKUP($A41,Courses!$A$2:$P$268,16,FALSE)</f>
        <v>11</v>
      </c>
    </row>
    <row r="42" spans="1:38">
      <c r="A42" s="13" t="str">
        <f>CONCATENATE(D42,H42)</f>
        <v>ECON2420S2</v>
      </c>
      <c r="B42" s="57" t="s">
        <v>807</v>
      </c>
      <c r="D42" s="80" t="s">
        <v>238</v>
      </c>
      <c r="E42" s="13" t="str">
        <f>IF(VLOOKUP($A42,Courses!$A$2:$F$268,3,FALSE)=0,"",VLOOKUP($A42,Courses!$A$2:$F$268,3,FALSE))</f>
        <v/>
      </c>
      <c r="F42" s="13" t="str">
        <f>IF(VLOOKUP($A42,Courses!$A$2:$F$268,4,FALSE)=0,"",VLOOKUP($A42,Courses!$A$2:$F$268,4,FALSE))</f>
        <v/>
      </c>
      <c r="G42" s="13" t="str">
        <f>VLOOKUP($A42,Courses!$A$2:$F$268,5,FALSE)</f>
        <v>The Macroeconomy &amp; Bus Conditions</v>
      </c>
      <c r="H42" s="70" t="s">
        <v>254</v>
      </c>
      <c r="I42" s="21" t="s">
        <v>252</v>
      </c>
      <c r="L42" s="120">
        <v>1</v>
      </c>
      <c r="M42" s="71">
        <v>13</v>
      </c>
      <c r="N42" s="21"/>
      <c r="O42" s="21"/>
      <c r="P42" s="12">
        <f>IF($I42="Y",(wCCH1+wCCH2*$AJ42)*($AE42*$AF42)+(1-$AC42)*MIN(wCCH3*$AI42,maxCCH) + $AC42*MIN(wCCH4*$AI42,maxCCH),0)</f>
        <v>64.474999999999994</v>
      </c>
      <c r="Q42" s="12">
        <f>IF($J42="Y",(wTCH1+wTCH2*IF($K42="Y",1,0))*$AG42*$AH42+(1-$AC42)*MIN(wTCH3*$AI42,maxTCH) + $AC42*MIN(wTCH4*$AI42,maxTCH),0)</f>
        <v>0</v>
      </c>
      <c r="R42" s="10">
        <f>(wOLH1+wOLH2*IF($K42="Y",1,0)+wOLH3*$AD42)*$T42 + wRLH*$U42</f>
        <v>78</v>
      </c>
      <c r="S42" s="10">
        <f>wOTH*$V42 + wRTH*$W42</f>
        <v>0</v>
      </c>
      <c r="T42" s="10">
        <f>IF($L42&gt;0,$M42*$AF42,0)</f>
        <v>26</v>
      </c>
      <c r="U42" s="10">
        <f>IF($L42&gt;1,($L42-1)*$M42*$AF42,0)</f>
        <v>0</v>
      </c>
      <c r="V42" s="10">
        <f>IF($N42&gt;0,$O42*$AH42,0)</f>
        <v>0</v>
      </c>
      <c r="W42" s="10">
        <f>IF($N42&gt;1,($N42-1)*$O42*$AH42,0)</f>
        <v>0</v>
      </c>
      <c r="X42" s="12">
        <f>(wAPH1+wAPH2*IF($K42="Y",1,0)+wAPH3*$AJ42)*IF($AE42&gt;0,$M42/$AE42,0)</f>
        <v>50</v>
      </c>
      <c r="Y42" s="33">
        <f>wCMH*MIN($AI42,maxCMH)*IF($AE42&gt;0,$M42/$AE42,1)</f>
        <v>15</v>
      </c>
      <c r="Z42" s="12">
        <f>wCACH1*($T42+$V42) +((1-$AC42)*MIN(wCACH2*$AI42,maxCACH) + $AC42*MIN(wCACH3*$AI42,maxCACH))*IF($AE42&gt;0,$M42/$AE42,1)</f>
        <v>64.474999999999994</v>
      </c>
      <c r="AA42" s="12">
        <f>SUM($P42:$Z42)</f>
        <v>297.95</v>
      </c>
      <c r="AB42" s="10">
        <f>ROUND(AA42/172.5,1)</f>
        <v>1.7</v>
      </c>
      <c r="AC42" s="14">
        <f>IF(VLOOKUP($A42,Courses!$A$2:$P$268,7,FALSE)="Y",1,0)</f>
        <v>0</v>
      </c>
      <c r="AD42" s="14">
        <f>VLOOKUP($A42,Courses!$A$2:$P$268,8,FALSE)</f>
        <v>0</v>
      </c>
      <c r="AE42" s="14">
        <f>VLOOKUP($A42,Courses!$A$2:$P$268,9,FALSE)</f>
        <v>13</v>
      </c>
      <c r="AF42" s="14">
        <f>VLOOKUP($A42,Courses!$A$2:$P$268,10,FALSE)</f>
        <v>2</v>
      </c>
      <c r="AG42" s="14">
        <f>VLOOKUP($A42,Courses!$A$2:$P$268,11,FALSE)</f>
        <v>12</v>
      </c>
      <c r="AH42" s="15">
        <f>VLOOKUP($A42,Courses!$A$2:$P$268,12,FALSE)</f>
        <v>1</v>
      </c>
      <c r="AI42" s="15">
        <f>VLOOKUP($A42,Courses!$A$2:$P$268,13,FALSE)</f>
        <v>285</v>
      </c>
      <c r="AJ42" s="15">
        <f>VLOOKUP($A42,Courses!$A$2:$P$268,14,FALSE)</f>
        <v>0</v>
      </c>
      <c r="AK42" s="15">
        <f>VLOOKUP($A42,Courses!$A$2:$P$268,15,FALSE)</f>
        <v>0</v>
      </c>
      <c r="AL42" s="15">
        <f>VLOOKUP($A42,Courses!$A$2:$P$268,16,FALSE)</f>
        <v>8</v>
      </c>
    </row>
    <row r="43" spans="1:38">
      <c r="A43" s="13" t="str">
        <f>CONCATENATE(D43,H43)</f>
        <v>ECON2460S1</v>
      </c>
      <c r="B43" s="129" t="s">
        <v>793</v>
      </c>
      <c r="D43" s="80" t="s">
        <v>65</v>
      </c>
      <c r="E43" s="13" t="str">
        <f>IF(VLOOKUP($A43,Courses!$A$2:$F$268,3,FALSE)=0,"",VLOOKUP($A43,Courses!$A$2:$F$268,3,FALSE))</f>
        <v/>
      </c>
      <c r="F43" s="13" t="str">
        <f>IF(VLOOKUP($A43,Courses!$A$2:$F$268,4,FALSE)=0,"",VLOOKUP($A43,Courses!$A$2:$F$268,4,FALSE))</f>
        <v/>
      </c>
      <c r="G43" s="13" t="str">
        <f>VLOOKUP($A43,Courses!$A$2:$F$268,5,FALSE)</f>
        <v>Health Economics</v>
      </c>
      <c r="H43" s="70" t="s">
        <v>253</v>
      </c>
      <c r="I43" s="21" t="s">
        <v>252</v>
      </c>
      <c r="J43" s="70" t="s">
        <v>252</v>
      </c>
      <c r="L43" s="120">
        <v>1</v>
      </c>
      <c r="M43" s="71">
        <v>13</v>
      </c>
      <c r="N43" s="21"/>
      <c r="O43" s="21"/>
      <c r="P43" s="12">
        <f>IF($I43="Y",(wCCH1+wCCH2*$AJ43)*($AE43*$AF43)+(1-$AC43)*MIN(wCCH3*$AI43,maxCCH) + $AC43*MIN(wCCH4*$AI43,maxCCH),0)</f>
        <v>35.585000000000001</v>
      </c>
      <c r="Q43" s="12">
        <f>IF($J43="Y",(wTCH1+wTCH2*IF($K43="Y",1,0))*$AG43*$AH43+(1-$AC43)*MIN(wTCH3*$AI43,maxTCH) + $AC43*MIN(wTCH4*$AI43,maxTCH),0)</f>
        <v>16.4375</v>
      </c>
      <c r="R43" s="10">
        <f>(wOLH1+wOLH2*IF($K43="Y",1,0)+wOLH3*$AD43)*$T43 + wRLH*$U43</f>
        <v>78</v>
      </c>
      <c r="S43" s="10">
        <f>wOTH*$V43 + wRTH*$W43</f>
        <v>0</v>
      </c>
      <c r="T43" s="10">
        <f>IF($L43&gt;0,$M43*$AF43,0)</f>
        <v>26</v>
      </c>
      <c r="U43" s="10">
        <f>IF($L43&gt;1,($L43-1)*$M43*$AF43,0)</f>
        <v>0</v>
      </c>
      <c r="V43" s="10">
        <f>IF($N43&gt;0,$O43*$AH43,0)</f>
        <v>0</v>
      </c>
      <c r="W43" s="10">
        <f>IF($N43&gt;1,($N43-1)*$O43*$AH43,0)</f>
        <v>0</v>
      </c>
      <c r="X43" s="12">
        <f>(wAPH1+wAPH2*IF($K43="Y",1,0)+wAPH3*$AJ43)*IF($AE43&gt;0,$M43/$AE43,0)</f>
        <v>50</v>
      </c>
      <c r="Y43" s="33">
        <f>wCMH*MIN($AI43,maxCMH)*IF($AE43&gt;0,$M43/$AE43,1)</f>
        <v>15</v>
      </c>
      <c r="Z43" s="12">
        <f>wCACH1*($T43+$V43) +((1-$AC43)*MIN(wCACH2*$AI43,maxCACH) + $AC43*MIN(wCACH3*$AI43,maxCACH))*IF($AE43&gt;0,$M43/$AE43,1)</f>
        <v>35.585000000000001</v>
      </c>
      <c r="AA43" s="12">
        <f>SUM($P43:$Z43)</f>
        <v>256.60750000000002</v>
      </c>
      <c r="AB43" s="10">
        <f>ROUND(AA43/172.5,1)</f>
        <v>1.5</v>
      </c>
      <c r="AC43" s="14">
        <f>IF(VLOOKUP($A43,Courses!$A$2:$P$268,7,FALSE)="Y",1,0)</f>
        <v>0</v>
      </c>
      <c r="AD43" s="14">
        <f>VLOOKUP($A43,Courses!$A$2:$P$268,8,FALSE)</f>
        <v>0</v>
      </c>
      <c r="AE43" s="14">
        <f>VLOOKUP($A43,Courses!$A$2:$P$268,9,FALSE)</f>
        <v>13</v>
      </c>
      <c r="AF43" s="14">
        <f>VLOOKUP($A43,Courses!$A$2:$P$268,10,FALSE)</f>
        <v>2</v>
      </c>
      <c r="AG43" s="14">
        <f>VLOOKUP($A43,Courses!$A$2:$P$268,11,FALSE)</f>
        <v>12</v>
      </c>
      <c r="AH43" s="15">
        <f>VLOOKUP($A43,Courses!$A$2:$P$268,12,FALSE)</f>
        <v>1</v>
      </c>
      <c r="AI43" s="15">
        <f>VLOOKUP($A43,Courses!$A$2:$P$268,13,FALSE)</f>
        <v>71</v>
      </c>
      <c r="AJ43" s="15">
        <f>VLOOKUP($A43,Courses!$A$2:$P$268,14,FALSE)</f>
        <v>0</v>
      </c>
      <c r="AK43" s="15">
        <f>VLOOKUP($A43,Courses!$A$2:$P$268,15,FALSE)</f>
        <v>0</v>
      </c>
      <c r="AL43" s="15">
        <f>VLOOKUP($A43,Courses!$A$2:$P$268,16,FALSE)</f>
        <v>2</v>
      </c>
    </row>
    <row r="44" spans="1:38">
      <c r="A44" s="13" t="str">
        <f>CONCATENATE(D44,H44)</f>
        <v>ECON2540S2</v>
      </c>
      <c r="B44" s="57" t="s">
        <v>807</v>
      </c>
      <c r="D44" s="80" t="s">
        <v>82</v>
      </c>
      <c r="E44" s="13" t="str">
        <f>IF(VLOOKUP($A44,Courses!$A$2:$F$268,3,FALSE)=0,"",VLOOKUP($A44,Courses!$A$2:$F$268,3,FALSE))</f>
        <v/>
      </c>
      <c r="F44" s="13" t="str">
        <f>IF(VLOOKUP($A44,Courses!$A$2:$F$268,4,FALSE)=0,"",VLOOKUP($A44,Courses!$A$2:$F$268,4,FALSE))</f>
        <v/>
      </c>
      <c r="G44" s="13" t="str">
        <f>VLOOKUP($A44,Courses!$A$2:$F$268,5,FALSE)</f>
        <v>Economics of Innovation &amp; Entrepreneurship</v>
      </c>
      <c r="H44" s="70" t="s">
        <v>254</v>
      </c>
      <c r="I44" s="21" t="s">
        <v>252</v>
      </c>
      <c r="J44" s="128" t="s">
        <v>252</v>
      </c>
      <c r="L44" s="120">
        <v>1</v>
      </c>
      <c r="M44" s="71">
        <v>13</v>
      </c>
      <c r="N44" s="21"/>
      <c r="O44" s="21"/>
      <c r="P44" s="12">
        <f>IF($I44="Y",(wCCH1+wCCH2*$AJ44)*($AE44*$AF44)+(1-$AC44)*MIN(wCCH3*$AI44,maxCCH) + $AC44*MIN(wCCH4*$AI44,maxCCH),0)</f>
        <v>40.58</v>
      </c>
      <c r="Q44" s="12">
        <f>IF($J44="Y",(wTCH1+wTCH2*IF($K44="Y",1,0))*$AG44*$AH44+(1-$AC44)*MIN(wTCH3*$AI44,maxTCH) + $AC44*MIN(wTCH4*$AI44,maxTCH),0)</f>
        <v>18.75</v>
      </c>
      <c r="R44" s="10">
        <f>(wOLH1+wOLH2*IF($K44="Y",1,0)+wOLH3*$AD44)*$T44 + wRLH*$U44</f>
        <v>78</v>
      </c>
      <c r="S44" s="10">
        <f>wOTH*$V44 + wRTH*$W44</f>
        <v>0</v>
      </c>
      <c r="T44" s="10">
        <f>IF($L44&gt;0,$M44*$AF44,0)</f>
        <v>26</v>
      </c>
      <c r="U44" s="10">
        <f>IF($L44&gt;1,($L44-1)*$M44*$AF44,0)</f>
        <v>0</v>
      </c>
      <c r="V44" s="10">
        <f>IF($N44&gt;0,$O44*$AH44,0)</f>
        <v>0</v>
      </c>
      <c r="W44" s="10">
        <f>IF($N44&gt;1,($N44-1)*$O44*$AH44,0)</f>
        <v>0</v>
      </c>
      <c r="X44" s="12">
        <f>(wAPH1+wAPH2*IF($K44="Y",1,0)+wAPH3*$AJ44)*IF($AE44&gt;0,$M44/$AE44,0)</f>
        <v>50</v>
      </c>
      <c r="Y44" s="33">
        <f>wCMH*MIN($AI44,maxCMH)*IF($AE44&gt;0,$M44/$AE44,1)</f>
        <v>15</v>
      </c>
      <c r="Z44" s="12">
        <f>wCACH1*($T44+$V44) +((1-$AC44)*MIN(wCACH2*$AI44,maxCACH) + $AC44*MIN(wCACH3*$AI44,maxCACH))*IF($AE44&gt;0,$M44/$AE44,1)</f>
        <v>40.58</v>
      </c>
      <c r="AA44" s="12">
        <f>SUM($P44:$Z44)</f>
        <v>268.90999999999997</v>
      </c>
      <c r="AB44" s="10">
        <f>ROUND(AA44/172.5,1)</f>
        <v>1.6</v>
      </c>
      <c r="AC44" s="14">
        <f>IF(VLOOKUP($A44,Courses!$A$2:$P$268,7,FALSE)="Y",1,0)</f>
        <v>0</v>
      </c>
      <c r="AD44" s="14">
        <f>VLOOKUP($A44,Courses!$A$2:$P$268,8,FALSE)</f>
        <v>0</v>
      </c>
      <c r="AE44" s="14">
        <f>VLOOKUP($A44,Courses!$A$2:$P$268,9,FALSE)</f>
        <v>13</v>
      </c>
      <c r="AF44" s="14">
        <f>VLOOKUP($A44,Courses!$A$2:$P$268,10,FALSE)</f>
        <v>2</v>
      </c>
      <c r="AG44" s="14">
        <f>VLOOKUP($A44,Courses!$A$2:$P$268,11,FALSE)</f>
        <v>12</v>
      </c>
      <c r="AH44" s="15">
        <f>VLOOKUP($A44,Courses!$A$2:$P$268,12,FALSE)</f>
        <v>1</v>
      </c>
      <c r="AI44" s="15">
        <f>VLOOKUP($A44,Courses!$A$2:$P$268,13,FALSE)</f>
        <v>108</v>
      </c>
      <c r="AJ44" s="15">
        <f>VLOOKUP($A44,Courses!$A$2:$P$268,14,FALSE)</f>
        <v>0</v>
      </c>
      <c r="AK44" s="15">
        <f>VLOOKUP($A44,Courses!$A$2:$P$268,15,FALSE)</f>
        <v>0</v>
      </c>
      <c r="AL44" s="15">
        <f>VLOOKUP($A44,Courses!$A$2:$P$268,16,FALSE)</f>
        <v>3</v>
      </c>
    </row>
    <row r="45" spans="1:38">
      <c r="A45" s="13" t="str">
        <f>CONCATENATE(D45,H45)</f>
        <v>ECON2560S2</v>
      </c>
      <c r="B45" s="57" t="s">
        <v>142</v>
      </c>
      <c r="D45" s="80" t="s">
        <v>89</v>
      </c>
      <c r="E45" s="13" t="str">
        <f>IF(VLOOKUP($A45,Courses!$A$2:$F$268,3,FALSE)=0,"",VLOOKUP($A45,Courses!$A$2:$F$268,3,FALSE))</f>
        <v/>
      </c>
      <c r="F45" s="13" t="str">
        <f>IF(VLOOKUP($A45,Courses!$A$2:$F$268,4,FALSE)=0,"",VLOOKUP($A45,Courses!$A$2:$F$268,4,FALSE))</f>
        <v/>
      </c>
      <c r="G45" s="13" t="str">
        <f>VLOOKUP($A45,Courses!$A$2:$F$268,5,FALSE)</f>
        <v>Economics of Globalisation and Development</v>
      </c>
      <c r="H45" s="70" t="s">
        <v>254</v>
      </c>
      <c r="I45" s="21" t="s">
        <v>252</v>
      </c>
      <c r="J45" s="70" t="s">
        <v>252</v>
      </c>
      <c r="L45" s="120">
        <v>1</v>
      </c>
      <c r="M45" s="71">
        <v>13</v>
      </c>
      <c r="N45" s="21"/>
      <c r="O45" s="21"/>
      <c r="P45" s="12">
        <f>IF($I45="Y",(wCCH1+wCCH2*$AJ45)*($AE45*$AF45)+(1-$AC45)*MIN(wCCH3*$AI45,maxCCH) + $AC45*MIN(wCCH4*$AI45,maxCCH),0)</f>
        <v>38.96</v>
      </c>
      <c r="Q45" s="12">
        <f>IF($J45="Y",(wTCH1+wTCH2*IF($K45="Y",1,0))*$AG45*$AH45+(1-$AC45)*MIN(wTCH3*$AI45,maxTCH) + $AC45*MIN(wTCH4*$AI45,maxTCH),0)</f>
        <v>18</v>
      </c>
      <c r="R45" s="10">
        <f>(wOLH1+wOLH2*IF($K45="Y",1,0)+wOLH3*$AD45)*$T45 + wRLH*$U45</f>
        <v>78</v>
      </c>
      <c r="S45" s="10">
        <f>wOTH*$V45 + wRTH*$W45</f>
        <v>0</v>
      </c>
      <c r="T45" s="10">
        <f>IF($L45&gt;0,$M45*$AF45,0)</f>
        <v>26</v>
      </c>
      <c r="U45" s="10">
        <f>IF($L45&gt;1,($L45-1)*$M45*$AF45,0)</f>
        <v>0</v>
      </c>
      <c r="V45" s="10">
        <f>IF($N45&gt;0,$O45*$AH45,0)</f>
        <v>0</v>
      </c>
      <c r="W45" s="10">
        <f>IF($N45&gt;1,($N45-1)*$O45*$AH45,0)</f>
        <v>0</v>
      </c>
      <c r="X45" s="12">
        <f>(wAPH1+wAPH2*IF($K45="Y",1,0)+wAPH3*$AJ45)*IF($AE45&gt;0,$M45/$AE45,0)</f>
        <v>50</v>
      </c>
      <c r="Y45" s="33">
        <f>wCMH*MIN($AI45,maxCMH)*IF($AE45&gt;0,$M45/$AE45,1)</f>
        <v>15</v>
      </c>
      <c r="Z45" s="12">
        <f>wCACH1*($T45+$V45) +((1-$AC45)*MIN(wCACH2*$AI45,maxCACH) + $AC45*MIN(wCACH3*$AI45,maxCACH))*IF($AE45&gt;0,$M45/$AE45,1)</f>
        <v>38.96</v>
      </c>
      <c r="AA45" s="12">
        <f>SUM($P45:$Z45)</f>
        <v>264.92</v>
      </c>
      <c r="AB45" s="10">
        <f>ROUND(AA45/172.5,1)</f>
        <v>1.5</v>
      </c>
      <c r="AC45" s="14">
        <f>IF(VLOOKUP($A45,Courses!$A$2:$P$268,7,FALSE)="Y",1,0)</f>
        <v>0</v>
      </c>
      <c r="AD45" s="14">
        <f>VLOOKUP($A45,Courses!$A$2:$P$268,8,FALSE)</f>
        <v>0</v>
      </c>
      <c r="AE45" s="14">
        <f>VLOOKUP($A45,Courses!$A$2:$P$268,9,FALSE)</f>
        <v>13</v>
      </c>
      <c r="AF45" s="14">
        <f>VLOOKUP($A45,Courses!$A$2:$P$268,10,FALSE)</f>
        <v>2</v>
      </c>
      <c r="AG45" s="14">
        <f>VLOOKUP($A45,Courses!$A$2:$P$268,11,FALSE)</f>
        <v>12</v>
      </c>
      <c r="AH45" s="15">
        <f>VLOOKUP($A45,Courses!$A$2:$P$268,12,FALSE)</f>
        <v>1</v>
      </c>
      <c r="AI45" s="15">
        <f>VLOOKUP($A45,Courses!$A$2:$P$268,13,FALSE)</f>
        <v>96</v>
      </c>
      <c r="AJ45" s="15">
        <f>VLOOKUP($A45,Courses!$A$2:$P$268,14,FALSE)</f>
        <v>0</v>
      </c>
      <c r="AK45" s="15">
        <f>VLOOKUP($A45,Courses!$A$2:$P$268,15,FALSE)</f>
        <v>0</v>
      </c>
      <c r="AL45" s="15">
        <f>VLOOKUP($A45,Courses!$A$2:$P$268,16,FALSE)</f>
        <v>3</v>
      </c>
    </row>
    <row r="46" spans="1:38">
      <c r="A46" s="13" t="str">
        <f>CONCATENATE(D46,H46)</f>
        <v>ECON2800S1</v>
      </c>
      <c r="B46" s="69" t="s">
        <v>140</v>
      </c>
      <c r="C46" s="70">
        <v>2019</v>
      </c>
      <c r="D46" s="80" t="s">
        <v>83</v>
      </c>
      <c r="E46" s="13" t="str">
        <f>IF(VLOOKUP($A46,Courses!$A$2:$F$268,3,FALSE)=0,"",VLOOKUP($A46,Courses!$A$2:$F$268,3,FALSE))</f>
        <v/>
      </c>
      <c r="F46" s="13" t="str">
        <f>IF(VLOOKUP($A46,Courses!$A$2:$F$268,4,FALSE)=0,"",VLOOKUP($A46,Courses!$A$2:$F$268,4,FALSE))</f>
        <v/>
      </c>
      <c r="G46" s="13" t="str">
        <f>VLOOKUP($A46,Courses!$A$2:$F$268,5,FALSE)</f>
        <v>Labour Economics</v>
      </c>
      <c r="H46" s="70" t="s">
        <v>253</v>
      </c>
      <c r="I46" s="21" t="s">
        <v>252</v>
      </c>
      <c r="J46" s="70" t="s">
        <v>252</v>
      </c>
      <c r="L46" s="120">
        <v>1</v>
      </c>
      <c r="M46" s="71">
        <v>13</v>
      </c>
      <c r="N46" s="21"/>
      <c r="O46" s="21"/>
      <c r="P46" s="12">
        <f>IF($I46="Y",(wCCH1+wCCH2*$AJ46)*($AE46*$AF46)+(1-$AC46)*MIN(wCCH3*$AI46,maxCCH) + $AC46*MIN(wCCH4*$AI46,maxCCH),0)</f>
        <v>33.155000000000001</v>
      </c>
      <c r="Q46" s="12">
        <f>IF($J46="Y",(wTCH1+wTCH2*IF($K46="Y",1,0))*$AG46*$AH46+(1-$AC46)*MIN(wTCH3*$AI46,maxTCH) + $AC46*MIN(wTCH4*$AI46,maxTCH),0)</f>
        <v>15.3125</v>
      </c>
      <c r="R46" s="10">
        <f>(wOLH1+wOLH2*IF($K46="Y",1,0)+wOLH3*$AD46)*$T46 + wRLH*$U46</f>
        <v>78</v>
      </c>
      <c r="S46" s="10">
        <f>wOTH*$V46 + wRTH*$W46</f>
        <v>0</v>
      </c>
      <c r="T46" s="10">
        <f>IF($L46&gt;0,$M46*$AF46,0)</f>
        <v>26</v>
      </c>
      <c r="U46" s="10">
        <f>IF($L46&gt;1,($L46-1)*$M46*$AF46,0)</f>
        <v>0</v>
      </c>
      <c r="V46" s="10">
        <f>IF($N46&gt;0,$O46*$AH46,0)</f>
        <v>0</v>
      </c>
      <c r="W46" s="10">
        <f>IF($N46&gt;1,($N46-1)*$O46*$AH46,0)</f>
        <v>0</v>
      </c>
      <c r="X46" s="12">
        <f>(wAPH1+wAPH2*IF($K46="Y",1,0)+wAPH3*$AJ46)*IF($AE46&gt;0,$M46/$AE46,0)</f>
        <v>50</v>
      </c>
      <c r="Y46" s="33">
        <f>wCMH*MIN($AI46,maxCMH)*IF($AE46&gt;0,$M46/$AE46,1)</f>
        <v>15</v>
      </c>
      <c r="Z46" s="12">
        <f>wCACH1*($T46+$V46) +((1-$AC46)*MIN(wCACH2*$AI46,maxCACH) + $AC46*MIN(wCACH3*$AI46,maxCACH))*IF($AE46&gt;0,$M46/$AE46,1)</f>
        <v>33.155000000000001</v>
      </c>
      <c r="AA46" s="12">
        <f>SUM($P46:$Z46)</f>
        <v>250.6225</v>
      </c>
      <c r="AB46" s="10">
        <f>ROUND(AA46/172.5,1)</f>
        <v>1.5</v>
      </c>
      <c r="AC46" s="14">
        <f>IF(VLOOKUP($A46,Courses!$A$2:$P$268,7,FALSE)="Y",1,0)</f>
        <v>0</v>
      </c>
      <c r="AD46" s="14">
        <f>VLOOKUP($A46,Courses!$A$2:$P$268,8,FALSE)</f>
        <v>0</v>
      </c>
      <c r="AE46" s="14">
        <f>VLOOKUP($A46,Courses!$A$2:$P$268,9,FALSE)</f>
        <v>13</v>
      </c>
      <c r="AF46" s="14">
        <f>VLOOKUP($A46,Courses!$A$2:$P$268,10,FALSE)</f>
        <v>2</v>
      </c>
      <c r="AG46" s="14">
        <f>VLOOKUP($A46,Courses!$A$2:$P$268,11,FALSE)</f>
        <v>12</v>
      </c>
      <c r="AH46" s="15">
        <f>VLOOKUP($A46,Courses!$A$2:$P$268,12,FALSE)</f>
        <v>1</v>
      </c>
      <c r="AI46" s="15">
        <f>VLOOKUP($A46,Courses!$A$2:$P$268,13,FALSE)</f>
        <v>53</v>
      </c>
      <c r="AJ46" s="15">
        <f>VLOOKUP($A46,Courses!$A$2:$P$268,14,FALSE)</f>
        <v>0</v>
      </c>
      <c r="AK46" s="15">
        <f>VLOOKUP($A46,Courses!$A$2:$P$268,15,FALSE)</f>
        <v>0</v>
      </c>
      <c r="AL46" s="15">
        <f>VLOOKUP($A46,Courses!$A$2:$P$268,16,FALSE)</f>
        <v>2</v>
      </c>
    </row>
    <row r="47" spans="1:38">
      <c r="A47" s="13" t="str">
        <f>CONCATENATE(D47,H47)</f>
        <v>ECON3010S1</v>
      </c>
      <c r="B47" s="69" t="s">
        <v>139</v>
      </c>
      <c r="C47" s="70">
        <v>2020</v>
      </c>
      <c r="D47" s="80" t="s">
        <v>43</v>
      </c>
      <c r="E47" s="13" t="str">
        <f>IF(VLOOKUP($A47,Courses!$A$2:$F$268,3,FALSE)=0,"",VLOOKUP($A47,Courses!$A$2:$F$268,3,FALSE))</f>
        <v/>
      </c>
      <c r="F47" s="13" t="str">
        <f>IF(VLOOKUP($A47,Courses!$A$2:$F$268,4,FALSE)=0,"",VLOOKUP($A47,Courses!$A$2:$F$268,4,FALSE))</f>
        <v/>
      </c>
      <c r="G47" s="13" t="str">
        <f>VLOOKUP($A47,Courses!$A$2:$F$268,5,FALSE)</f>
        <v>Advanced Microeconomics</v>
      </c>
      <c r="H47" s="70" t="s">
        <v>253</v>
      </c>
      <c r="I47" s="21" t="s">
        <v>252</v>
      </c>
      <c r="J47" s="70" t="s">
        <v>252</v>
      </c>
      <c r="L47" s="120">
        <v>1</v>
      </c>
      <c r="M47" s="71">
        <v>13</v>
      </c>
      <c r="N47" s="21"/>
      <c r="O47" s="21"/>
      <c r="P47" s="12">
        <f>IF($I47="Y",(wCCH1+wCCH2*$AJ47)*($AE47*$AF47)+(1-$AC47)*MIN(wCCH3*$AI47,maxCCH) + $AC47*MIN(wCCH4*$AI47,maxCCH),0)</f>
        <v>46.115000000000002</v>
      </c>
      <c r="Q47" s="12">
        <f>IF($J47="Y",(wTCH1+wTCH2*IF($K47="Y",1,0))*$AG47*$AH47+(1-$AC47)*MIN(wTCH3*$AI47,maxTCH) + $AC47*MIN(wTCH4*$AI47,maxTCH),0)</f>
        <v>27.3125</v>
      </c>
      <c r="R47" s="10">
        <f>(wOLH1+wOLH2*IF($K47="Y",1,0)+wOLH3*$AD47)*$T47 + wRLH*$U47</f>
        <v>78</v>
      </c>
      <c r="S47" s="10">
        <f>wOTH*$V47 + wRTH*$W47</f>
        <v>0</v>
      </c>
      <c r="T47" s="10">
        <f>IF($L47&gt;0,$M47*$AF47,0)</f>
        <v>26</v>
      </c>
      <c r="U47" s="10">
        <f>IF($L47&gt;1,($L47-1)*$M47*$AF47,0)</f>
        <v>0</v>
      </c>
      <c r="V47" s="10">
        <f>IF($N47&gt;0,$O47*$AH47,0)</f>
        <v>0</v>
      </c>
      <c r="W47" s="10">
        <f>IF($N47&gt;1,($N47-1)*$O47*$AH47,0)</f>
        <v>0</v>
      </c>
      <c r="X47" s="12">
        <f>(wAPH1+wAPH2*IF($K47="Y",1,0)+wAPH3*$AJ47)*IF($AE47&gt;0,$M47/$AE47,0)</f>
        <v>50</v>
      </c>
      <c r="Y47" s="33">
        <f>wCMH*MIN($AI47,maxCMH)*IF($AE47&gt;0,$M47/$AE47,1)</f>
        <v>15</v>
      </c>
      <c r="Z47" s="12">
        <f>wCACH1*($T47+$V47) +((1-$AC47)*MIN(wCACH2*$AI47,maxCACH) + $AC47*MIN(wCACH3*$AI47,maxCACH))*IF($AE47&gt;0,$M47/$AE47,1)</f>
        <v>46.115000000000002</v>
      </c>
      <c r="AA47" s="12">
        <f>SUM($P47:$Z47)</f>
        <v>288.54250000000002</v>
      </c>
      <c r="AB47" s="10">
        <f>ROUND(AA47/172.5,1)</f>
        <v>1.7</v>
      </c>
      <c r="AC47" s="14">
        <f>IF(VLOOKUP($A47,Courses!$A$2:$P$268,7,FALSE)="Y",1,0)</f>
        <v>0</v>
      </c>
      <c r="AD47" s="14">
        <f>VLOOKUP($A47,Courses!$A$2:$P$268,8,FALSE)</f>
        <v>0</v>
      </c>
      <c r="AE47" s="14">
        <f>VLOOKUP($A47,Courses!$A$2:$P$268,9,FALSE)</f>
        <v>13</v>
      </c>
      <c r="AF47" s="14">
        <f>VLOOKUP($A47,Courses!$A$2:$P$268,10,FALSE)</f>
        <v>2</v>
      </c>
      <c r="AG47" s="14">
        <f>VLOOKUP($A47,Courses!$A$2:$P$268,11,FALSE)</f>
        <v>12</v>
      </c>
      <c r="AH47" s="15">
        <f>VLOOKUP($A47,Courses!$A$2:$P$268,12,FALSE)</f>
        <v>1.5</v>
      </c>
      <c r="AI47" s="15">
        <f>VLOOKUP($A47,Courses!$A$2:$P$268,13,FALSE)</f>
        <v>149</v>
      </c>
      <c r="AJ47" s="15">
        <f>VLOOKUP($A47,Courses!$A$2:$P$268,14,FALSE)</f>
        <v>0</v>
      </c>
      <c r="AK47" s="15">
        <f>VLOOKUP($A47,Courses!$A$2:$P$268,15,FALSE)</f>
        <v>0</v>
      </c>
      <c r="AL47" s="15">
        <f>VLOOKUP($A47,Courses!$A$2:$P$268,16,FALSE)</f>
        <v>4</v>
      </c>
    </row>
    <row r="48" spans="1:38">
      <c r="A48" s="13" t="str">
        <f>CONCATENATE(D48,H48)</f>
        <v>ECON3020S2</v>
      </c>
      <c r="B48" s="69" t="s">
        <v>125</v>
      </c>
      <c r="D48" s="80" t="s">
        <v>40</v>
      </c>
      <c r="E48" s="13" t="str">
        <f>IF(VLOOKUP($A48,Courses!$A$2:$F$268,3,FALSE)=0,"",VLOOKUP($A48,Courses!$A$2:$F$268,3,FALSE))</f>
        <v/>
      </c>
      <c r="F48" s="13" t="str">
        <f>IF(VLOOKUP($A48,Courses!$A$2:$F$268,4,FALSE)=0,"",VLOOKUP($A48,Courses!$A$2:$F$268,4,FALSE))</f>
        <v/>
      </c>
      <c r="G48" s="13" t="str">
        <f>VLOOKUP($A48,Courses!$A$2:$F$268,5,FALSE)</f>
        <v>Advanced Macroeconomics</v>
      </c>
      <c r="H48" s="70" t="s">
        <v>254</v>
      </c>
      <c r="I48" s="21" t="s">
        <v>252</v>
      </c>
      <c r="K48" s="70" t="s">
        <v>252</v>
      </c>
      <c r="L48" s="120">
        <v>1</v>
      </c>
      <c r="M48" s="71">
        <v>6</v>
      </c>
      <c r="N48" s="21"/>
      <c r="O48" s="21"/>
      <c r="P48" s="12">
        <f>IF($I48="Y",(wCCH1+wCCH2*$AJ48)*($AE48*$AF48)+(1-$AC48)*MIN(wCCH3*$AI48,maxCCH) + $AC48*MIN(wCCH4*$AI48,maxCCH),0)</f>
        <v>49.355000000000004</v>
      </c>
      <c r="Q48" s="12">
        <f>IF($J48="Y",(wTCH1+wTCH2*IF($K48="Y",1,0))*$AG48*$AH48+(1-$AC48)*MIN(wTCH3*$AI48,maxTCH) + $AC48*MIN(wTCH4*$AI48,maxTCH),0)</f>
        <v>0</v>
      </c>
      <c r="R48" s="10">
        <f>(wOLH1+wOLH2*IF($K48="Y",1,0)+wOLH3*$AD48)*$T48 + wRLH*$U48</f>
        <v>60</v>
      </c>
      <c r="S48" s="10">
        <f>wOTH*$V48 + wRTH*$W48</f>
        <v>0</v>
      </c>
      <c r="T48" s="10">
        <f>IF($L48&gt;0,$M48*$AF48,0)</f>
        <v>12</v>
      </c>
      <c r="U48" s="10">
        <f>IF($L48&gt;1,($L48-1)*$M48*$AF48,0)</f>
        <v>0</v>
      </c>
      <c r="V48" s="10">
        <f>IF($N48&gt;0,$O48*$AH48,0)</f>
        <v>0</v>
      </c>
      <c r="W48" s="10">
        <f>IF($N48&gt;1,($N48-1)*$O48*$AH48,0)</f>
        <v>0</v>
      </c>
      <c r="X48" s="12">
        <f>(wAPH1+wAPH2*IF($K48="Y",1,0)+wAPH3*$AJ48)*IF($AE48&gt;0,$M48/$AE48,0)</f>
        <v>32.307692307692307</v>
      </c>
      <c r="Y48" s="33">
        <f>wCMH*MIN($AI48,maxCMH)*IF($AE48&gt;0,$M48/$AE48,1)</f>
        <v>6.9230769230769234</v>
      </c>
      <c r="Z48" s="12">
        <f>wCACH1*($T48+$V48) +((1-$AC48)*MIN(wCACH2*$AI48,maxCACH) + $AC48*MIN(wCACH3*$AI48,maxCACH))*IF($AE48&gt;0,$M48/$AE48,1)</f>
        <v>22.779230769230772</v>
      </c>
      <c r="AA48" s="12">
        <f>SUM($P48:$Z48)</f>
        <v>183.36500000000001</v>
      </c>
      <c r="AB48" s="10">
        <f>ROUND(AA48/172.5,1)</f>
        <v>1.1000000000000001</v>
      </c>
      <c r="AC48" s="14">
        <f>IF(VLOOKUP($A48,Courses!$A$2:$P$268,7,FALSE)="Y",1,0)</f>
        <v>0</v>
      </c>
      <c r="AD48" s="14">
        <f>VLOOKUP($A48,Courses!$A$2:$P$268,8,FALSE)</f>
        <v>0</v>
      </c>
      <c r="AE48" s="14">
        <f>VLOOKUP($A48,Courses!$A$2:$P$268,9,FALSE)</f>
        <v>13</v>
      </c>
      <c r="AF48" s="14">
        <f>VLOOKUP($A48,Courses!$A$2:$P$268,10,FALSE)</f>
        <v>2</v>
      </c>
      <c r="AG48" s="14">
        <f>VLOOKUP($A48,Courses!$A$2:$P$268,11,FALSE)</f>
        <v>12</v>
      </c>
      <c r="AH48" s="15">
        <f>VLOOKUP($A48,Courses!$A$2:$P$268,12,FALSE)</f>
        <v>1</v>
      </c>
      <c r="AI48" s="15">
        <f>VLOOKUP($A48,Courses!$A$2:$P$268,13,FALSE)</f>
        <v>173</v>
      </c>
      <c r="AJ48" s="15">
        <f>VLOOKUP($A48,Courses!$A$2:$P$268,14,FALSE)</f>
        <v>0</v>
      </c>
      <c r="AK48" s="15">
        <f>VLOOKUP($A48,Courses!$A$2:$P$268,15,FALSE)</f>
        <v>0</v>
      </c>
      <c r="AL48" s="15">
        <f>VLOOKUP($A48,Courses!$A$2:$P$268,16,FALSE)</f>
        <v>5</v>
      </c>
    </row>
    <row r="49" spans="1:38">
      <c r="A49" s="13" t="str">
        <f>CONCATENATE(D49,H49)</f>
        <v>ECON3020S2</v>
      </c>
      <c r="B49" s="57" t="s">
        <v>807</v>
      </c>
      <c r="D49" s="80" t="s">
        <v>40</v>
      </c>
      <c r="E49" s="13" t="str">
        <f>IF(VLOOKUP($A49,Courses!$A$2:$F$268,3,FALSE)=0,"",VLOOKUP($A49,Courses!$A$2:$F$268,3,FALSE))</f>
        <v/>
      </c>
      <c r="F49" s="13" t="str">
        <f>IF(VLOOKUP($A49,Courses!$A$2:$F$268,4,FALSE)=0,"",VLOOKUP($A49,Courses!$A$2:$F$268,4,FALSE))</f>
        <v/>
      </c>
      <c r="G49" s="13" t="str">
        <f>VLOOKUP($A49,Courses!$A$2:$F$268,5,FALSE)</f>
        <v>Advanced Macroeconomics</v>
      </c>
      <c r="H49" s="70" t="s">
        <v>254</v>
      </c>
      <c r="I49" s="21"/>
      <c r="J49" s="70" t="s">
        <v>252</v>
      </c>
      <c r="K49" s="70" t="s">
        <v>252</v>
      </c>
      <c r="L49" s="120">
        <v>1</v>
      </c>
      <c r="M49" s="71">
        <v>7</v>
      </c>
      <c r="N49" s="21"/>
      <c r="O49" s="21"/>
      <c r="P49" s="12">
        <f>IF($I49="Y",(wCCH1+wCCH2*$AJ49)*($AE49*$AF49)+(1-$AC49)*MIN(wCCH3*$AI49,maxCCH) + $AC49*MIN(wCCH4*$AI49,maxCCH),0)</f>
        <v>0</v>
      </c>
      <c r="Q49" s="12">
        <f>IF($J49="Y",(wTCH1+wTCH2*IF($K49="Y",1,0))*$AG49*$AH49+(1-$AC49)*MIN(wTCH3*$AI49,maxTCH) + $AC49*MIN(wTCH4*$AI49,maxTCH),0)</f>
        <v>34.8125</v>
      </c>
      <c r="R49" s="10">
        <f>(wOLH1+wOLH2*IF($K49="Y",1,0)+wOLH3*$AD49)*$T49 + wRLH*$U49</f>
        <v>70</v>
      </c>
      <c r="S49" s="10">
        <f>wOTH*$V49 + wRTH*$W49</f>
        <v>0</v>
      </c>
      <c r="T49" s="10">
        <f>IF($L49&gt;0,$M49*$AF49,0)</f>
        <v>14</v>
      </c>
      <c r="U49" s="10">
        <f>IF($L49&gt;1,($L49-1)*$M49*$AF49,0)</f>
        <v>0</v>
      </c>
      <c r="V49" s="10">
        <f>IF($N49&gt;0,$O49*$AH49,0)</f>
        <v>0</v>
      </c>
      <c r="W49" s="10">
        <f>IF($N49&gt;1,($N49-1)*$O49*$AH49,0)</f>
        <v>0</v>
      </c>
      <c r="X49" s="12">
        <f>(wAPH1+wAPH2*IF($K49="Y",1,0)+wAPH3*$AJ49)*IF($AE49&gt;0,$M49/$AE49,0)</f>
        <v>37.692307692307693</v>
      </c>
      <c r="Y49" s="33">
        <f>wCMH*MIN($AI49,maxCMH)*IF($AE49&gt;0,$M49/$AE49,1)</f>
        <v>8.0769230769230766</v>
      </c>
      <c r="Z49" s="12">
        <f>wCACH1*($T49+$V49) +((1-$AC49)*MIN(wCACH2*$AI49,maxCACH) + $AC49*MIN(wCACH3*$AI49,maxCACH))*IF($AE49&gt;0,$M49/$AE49,1)</f>
        <v>26.575769230769232</v>
      </c>
      <c r="AA49" s="12">
        <f>SUM($P49:$Z49)</f>
        <v>191.15749999999997</v>
      </c>
      <c r="AB49" s="10">
        <f>ROUND(AA49/172.5,1)</f>
        <v>1.1000000000000001</v>
      </c>
      <c r="AC49" s="14">
        <f>IF(VLOOKUP($A49,Courses!$A$2:$P$268,7,FALSE)="Y",1,0)</f>
        <v>0</v>
      </c>
      <c r="AD49" s="14">
        <f>VLOOKUP($A49,Courses!$A$2:$P$268,8,FALSE)</f>
        <v>0</v>
      </c>
      <c r="AE49" s="14">
        <f>VLOOKUP($A49,Courses!$A$2:$P$268,9,FALSE)</f>
        <v>13</v>
      </c>
      <c r="AF49" s="14">
        <f>VLOOKUP($A49,Courses!$A$2:$P$268,10,FALSE)</f>
        <v>2</v>
      </c>
      <c r="AG49" s="14">
        <f>VLOOKUP($A49,Courses!$A$2:$P$268,11,FALSE)</f>
        <v>12</v>
      </c>
      <c r="AH49" s="15">
        <f>VLOOKUP($A49,Courses!$A$2:$P$268,12,FALSE)</f>
        <v>1</v>
      </c>
      <c r="AI49" s="15">
        <f>VLOOKUP($A49,Courses!$A$2:$P$268,13,FALSE)</f>
        <v>173</v>
      </c>
      <c r="AJ49" s="15">
        <f>VLOOKUP($A49,Courses!$A$2:$P$268,14,FALSE)</f>
        <v>0</v>
      </c>
      <c r="AK49" s="15">
        <f>VLOOKUP($A49,Courses!$A$2:$P$268,15,FALSE)</f>
        <v>0</v>
      </c>
      <c r="AL49" s="15">
        <f>VLOOKUP($A49,Courses!$A$2:$P$268,16,FALSE)</f>
        <v>5</v>
      </c>
    </row>
    <row r="50" spans="1:38">
      <c r="A50" s="13" t="str">
        <f>CONCATENATE(D50,H50)</f>
        <v>ECON3200S1</v>
      </c>
      <c r="B50" s="69" t="s">
        <v>7</v>
      </c>
      <c r="C50" s="83">
        <v>2020</v>
      </c>
      <c r="D50" s="80" t="s">
        <v>109</v>
      </c>
      <c r="E50" s="13" t="str">
        <f>IF(VLOOKUP($A50,Courses!$A$2:$F$268,3,FALSE)=0,"",VLOOKUP($A50,Courses!$A$2:$F$268,3,FALSE))</f>
        <v/>
      </c>
      <c r="F50" s="13" t="str">
        <f>IF(VLOOKUP($A50,Courses!$A$2:$F$268,4,FALSE)=0,"",VLOOKUP($A50,Courses!$A$2:$F$268,4,FALSE))</f>
        <v/>
      </c>
      <c r="G50" s="13" t="str">
        <f>VLOOKUP($A50,Courses!$A$2:$F$268,5,FALSE)</f>
        <v>Monetary Economics</v>
      </c>
      <c r="H50" s="70" t="s">
        <v>253</v>
      </c>
      <c r="I50" s="21" t="s">
        <v>252</v>
      </c>
      <c r="J50" s="70" t="s">
        <v>252</v>
      </c>
      <c r="K50" s="63"/>
      <c r="L50" s="120">
        <v>1</v>
      </c>
      <c r="M50" s="71">
        <v>13</v>
      </c>
      <c r="N50" s="21"/>
      <c r="O50" s="21"/>
      <c r="P50" s="12">
        <f>IF($I50="Y",(wCCH1+wCCH2*$AJ50)*($AE50*$AF50)+(1-$AC50)*MIN(wCCH3*$AI50,maxCCH) + $AC50*MIN(wCCH4*$AI50,maxCCH),0)</f>
        <v>39.365000000000002</v>
      </c>
      <c r="Q50" s="12">
        <f>IF($J50="Y",(wTCH1+wTCH2*IF($K50="Y",1,0))*$AG50*$AH50+(1-$AC50)*MIN(wTCH3*$AI50,maxTCH) + $AC50*MIN(wTCH4*$AI50,maxTCH),0)</f>
        <v>18.1875</v>
      </c>
      <c r="R50" s="10">
        <f>(wOLH1+wOLH2*IF($K50="Y",1,0)+wOLH3*$AD50)*$T50 + wRLH*$U50</f>
        <v>78</v>
      </c>
      <c r="S50" s="10">
        <f>wOTH*$V50 + wRTH*$W50</f>
        <v>0</v>
      </c>
      <c r="T50" s="10">
        <f>IF($L50&gt;0,$M50*$AF50,0)</f>
        <v>26</v>
      </c>
      <c r="U50" s="10">
        <f>IF($L50&gt;1,($L50-1)*$M50*$AF50,0)</f>
        <v>0</v>
      </c>
      <c r="V50" s="10">
        <f>IF($N50&gt;0,$O50*$AH50,0)</f>
        <v>0</v>
      </c>
      <c r="W50" s="10">
        <f>IF($N50&gt;1,($N50-1)*$O50*$AH50,0)</f>
        <v>0</v>
      </c>
      <c r="X50" s="12">
        <f>(wAPH1+wAPH2*IF($K50="Y",1,0)+wAPH3*$AJ50)*IF($AE50&gt;0,$M50/$AE50,0)</f>
        <v>50</v>
      </c>
      <c r="Y50" s="33">
        <f>wCMH*MIN($AI50,maxCMH)*IF($AE50&gt;0,$M50/$AE50,1)</f>
        <v>15</v>
      </c>
      <c r="Z50" s="12">
        <f>wCACH1*($T50+$V50) +((1-$AC50)*MIN(wCACH2*$AI50,maxCACH) + $AC50*MIN(wCACH3*$AI50,maxCACH))*IF($AE50&gt;0,$M50/$AE50,1)</f>
        <v>39.365000000000002</v>
      </c>
      <c r="AA50" s="12">
        <f>SUM($P50:$Z50)</f>
        <v>265.91750000000002</v>
      </c>
      <c r="AB50" s="10">
        <f>ROUND(AA50/172.5,1)</f>
        <v>1.5</v>
      </c>
      <c r="AC50" s="14">
        <f>IF(VLOOKUP($A50,Courses!$A$2:$P$268,7,FALSE)="Y",1,0)</f>
        <v>0</v>
      </c>
      <c r="AD50" s="14">
        <f>VLOOKUP($A50,Courses!$A$2:$P$268,8,FALSE)</f>
        <v>0</v>
      </c>
      <c r="AE50" s="14">
        <f>VLOOKUP($A50,Courses!$A$2:$P$268,9,FALSE)</f>
        <v>13</v>
      </c>
      <c r="AF50" s="14">
        <f>VLOOKUP($A50,Courses!$A$2:$P$268,10,FALSE)</f>
        <v>2</v>
      </c>
      <c r="AG50" s="14">
        <f>VLOOKUP($A50,Courses!$A$2:$P$268,11,FALSE)</f>
        <v>12</v>
      </c>
      <c r="AH50" s="15">
        <f>VLOOKUP($A50,Courses!$A$2:$P$268,12,FALSE)</f>
        <v>1</v>
      </c>
      <c r="AI50" s="15">
        <f>VLOOKUP($A50,Courses!$A$2:$P$268,13,FALSE)</f>
        <v>99</v>
      </c>
      <c r="AJ50" s="15">
        <f>VLOOKUP($A50,Courses!$A$2:$P$268,14,FALSE)</f>
        <v>0</v>
      </c>
      <c r="AK50" s="15">
        <f>VLOOKUP($A50,Courses!$A$2:$P$268,15,FALSE)</f>
        <v>0</v>
      </c>
      <c r="AL50" s="15">
        <f>VLOOKUP($A50,Courses!$A$2:$P$268,16,FALSE)</f>
        <v>3</v>
      </c>
    </row>
    <row r="51" spans="1:38">
      <c r="A51" s="13" t="str">
        <f>CONCATENATE(D51,H51)</f>
        <v>ECON3210S2</v>
      </c>
      <c r="B51" s="69" t="s">
        <v>6</v>
      </c>
      <c r="C51" s="83">
        <v>2020</v>
      </c>
      <c r="D51" s="80" t="s">
        <v>32</v>
      </c>
      <c r="E51" s="13" t="str">
        <f>IF(VLOOKUP($A51,Courses!$A$2:$F$268,3,FALSE)=0,"",VLOOKUP($A51,Courses!$A$2:$F$268,3,FALSE))</f>
        <v/>
      </c>
      <c r="F51" s="13" t="str">
        <f>IF(VLOOKUP($A51,Courses!$A$2:$F$268,4,FALSE)=0,"",VLOOKUP($A51,Courses!$A$2:$F$268,4,FALSE))</f>
        <v/>
      </c>
      <c r="G51" s="13" t="str">
        <f>VLOOKUP($A51,Courses!$A$2:$F$268,5,FALSE)</f>
        <v>Financial Markets and Institutions</v>
      </c>
      <c r="H51" s="70" t="s">
        <v>254</v>
      </c>
      <c r="I51" s="21" t="s">
        <v>252</v>
      </c>
      <c r="J51" s="70" t="s">
        <v>252</v>
      </c>
      <c r="L51" s="120">
        <v>2</v>
      </c>
      <c r="M51" s="71">
        <v>13</v>
      </c>
      <c r="N51" s="21"/>
      <c r="O51" s="21"/>
      <c r="P51" s="12">
        <f>IF($I51="Y",(wCCH1+wCCH2*$AJ51)*($AE51*$AF51)+(1-$AC51)*MIN(wCCH3*$AI51,maxCCH) + $AC51*MIN(wCCH4*$AI51,maxCCH),0)</f>
        <v>56.239999999999995</v>
      </c>
      <c r="Q51" s="12">
        <f>IF($J51="Y",(wTCH1+wTCH2*IF($K51="Y",1,0))*$AG51*$AH51+(1-$AC51)*MIN(wTCH3*$AI51,maxTCH) + $AC51*MIN(wTCH4*$AI51,maxTCH),0)</f>
        <v>37.977599999999995</v>
      </c>
      <c r="R51" s="10">
        <f>(wOLH1+wOLH2*IF($K51="Y",1,0)+wOLH3*$AD51)*$T51 + wRLH*$U51</f>
        <v>104</v>
      </c>
      <c r="S51" s="10">
        <f>wOTH*$V51 + wRTH*$W51</f>
        <v>0</v>
      </c>
      <c r="T51" s="10">
        <f>IF($L51&gt;0,$M51*$AF51,0)</f>
        <v>26</v>
      </c>
      <c r="U51" s="10">
        <f>IF($L51&gt;1,($L51-1)*$M51*$AF51,0)</f>
        <v>26</v>
      </c>
      <c r="V51" s="10">
        <f>IF($N51&gt;0,$O51*$AH51,0)</f>
        <v>0</v>
      </c>
      <c r="W51" s="10">
        <f>IF($N51&gt;1,($N51-1)*$O51*$AH51,0)</f>
        <v>0</v>
      </c>
      <c r="X51" s="12">
        <f>(wAPH1+wAPH2*IF($K51="Y",1,0)+wAPH3*$AJ51)*IF($AE51&gt;0,$M51/$AE51,0)</f>
        <v>50</v>
      </c>
      <c r="Y51" s="33">
        <f>wCMH*MIN($AI51,maxCMH)*IF($AE51&gt;0,$M51/$AE51,1)</f>
        <v>15</v>
      </c>
      <c r="Z51" s="12">
        <f>wCACH1*($T51+$V51) +((1-$AC51)*MIN(wCACH2*$AI51,maxCACH) + $AC51*MIN(wCACH3*$AI51,maxCACH))*IF($AE51&gt;0,$M51/$AE51,1)</f>
        <v>56.239999999999995</v>
      </c>
      <c r="AA51" s="12">
        <f>SUM($P51:$Z51)</f>
        <v>371.45760000000001</v>
      </c>
      <c r="AB51" s="10">
        <f>ROUND(AA51/172.5,1)</f>
        <v>2.2000000000000002</v>
      </c>
      <c r="AC51" s="14">
        <f>IF(VLOOKUP($A51,Courses!$A$2:$P$268,7,FALSE)="Y",1,0)</f>
        <v>1</v>
      </c>
      <c r="AD51" s="14">
        <f>VLOOKUP($A51,Courses!$A$2:$P$268,8,FALSE)</f>
        <v>0</v>
      </c>
      <c r="AE51" s="14">
        <f>VLOOKUP($A51,Courses!$A$2:$P$268,9,FALSE)</f>
        <v>13</v>
      </c>
      <c r="AF51" s="14">
        <f>VLOOKUP($A51,Courses!$A$2:$P$268,10,FALSE)</f>
        <v>2</v>
      </c>
      <c r="AG51" s="14">
        <f>VLOOKUP($A51,Courses!$A$2:$P$268,11,FALSE)</f>
        <v>12</v>
      </c>
      <c r="AH51" s="15">
        <f>VLOOKUP($A51,Courses!$A$2:$P$268,12,FALSE)</f>
        <v>2</v>
      </c>
      <c r="AI51" s="15">
        <f>VLOOKUP($A51,Courses!$A$2:$P$268,13,FALSE)</f>
        <v>672</v>
      </c>
      <c r="AJ51" s="15">
        <f>VLOOKUP($A51,Courses!$A$2:$P$268,14,FALSE)</f>
        <v>0</v>
      </c>
      <c r="AK51" s="15">
        <f>VLOOKUP($A51,Courses!$A$2:$P$268,15,FALSE)</f>
        <v>1</v>
      </c>
      <c r="AL51" s="15">
        <f>VLOOKUP($A51,Courses!$A$2:$P$268,16,FALSE)</f>
        <v>17</v>
      </c>
    </row>
    <row r="52" spans="1:38">
      <c r="A52" s="13" t="str">
        <f>CONCATENATE(D52,H52)</f>
        <v>ECON3210S3</v>
      </c>
      <c r="B52" s="69" t="s">
        <v>6</v>
      </c>
      <c r="C52" s="83">
        <v>2020</v>
      </c>
      <c r="D52" s="80" t="s">
        <v>32</v>
      </c>
      <c r="E52" s="13" t="str">
        <f>IF(VLOOKUP($A52,Courses!$A$2:$F$268,3,FALSE)=0,"",VLOOKUP($A52,Courses!$A$2:$F$268,3,FALSE))</f>
        <v/>
      </c>
      <c r="F52" s="13" t="str">
        <f>IF(VLOOKUP($A52,Courses!$A$2:$F$268,4,FALSE)=0,"",VLOOKUP($A52,Courses!$A$2:$F$268,4,FALSE))</f>
        <v/>
      </c>
      <c r="G52" s="13" t="str">
        <f>VLOOKUP($A52,Courses!$A$2:$F$268,5,FALSE)</f>
        <v>Financial Markets and Institutions</v>
      </c>
      <c r="H52" s="70" t="s">
        <v>255</v>
      </c>
      <c r="I52" s="21" t="s">
        <v>252</v>
      </c>
      <c r="L52" s="70">
        <v>1</v>
      </c>
      <c r="M52" s="71">
        <v>7</v>
      </c>
      <c r="N52" s="21"/>
      <c r="P52" s="12">
        <f>IF($I52="Y",(wCCH1+wCCH2*$AJ52)*($AE52*$AF52)+(1-$AC52)*MIN(wCCH3*$AI52,maxCCH) + $AC52*MIN(wCCH4*$AI52,maxCCH),0)</f>
        <v>49.06</v>
      </c>
      <c r="Q52" s="12">
        <f>IF($J52="Y",(wTCH1+wTCH2*IF($K52="Y",1,0))*$AG52*$AH52+(1-$AC52)*MIN(wTCH3*$AI52,maxTCH) + $AC52*MIN(wTCH4*$AI52,maxTCH),0)</f>
        <v>0</v>
      </c>
      <c r="R52" s="10">
        <f>(wOLH1+wOLH2*IF($K52="Y",1,0)+wOLH3*$AD52)*$T52 + wRLH*$U52</f>
        <v>84</v>
      </c>
      <c r="S52" s="10">
        <f>wOTH*$V52 + wRTH*$W52</f>
        <v>0</v>
      </c>
      <c r="T52" s="10">
        <f>IF($L52&gt;0,$M52*$AF52,0)</f>
        <v>28</v>
      </c>
      <c r="U52" s="10">
        <f>IF($L52&gt;1,($L52-1)*$M52*$AF52,0)</f>
        <v>0</v>
      </c>
      <c r="V52" s="10">
        <f>IF($N52&gt;0,$O52*$AH52,0)</f>
        <v>0</v>
      </c>
      <c r="W52" s="10">
        <f>IF($N52&gt;1,($N52-1)*$O52*$AH52,0)</f>
        <v>0</v>
      </c>
      <c r="X52" s="12">
        <f>(wAPH1+wAPH2*IF($K52="Y",1,0)+wAPH3*$AJ52)*IF($AE52&gt;0,$M52/$AE52,0)</f>
        <v>50</v>
      </c>
      <c r="Y52" s="33">
        <f>wCMH*MIN($AI52,maxCMH)*IF($AE52&gt;0,$M52/$AE52,1)</f>
        <v>15</v>
      </c>
      <c r="Z52" s="12">
        <f>wCACH1*($T52+$V52) +((1-$AC52)*MIN(wCACH2*$AI52,maxCACH) + $AC52*MIN(wCACH3*$AI52,maxCACH))*IF($AE52&gt;0,$M52/$AE52,1)</f>
        <v>49.06</v>
      </c>
      <c r="AA52" s="12">
        <f>SUM($P52:$Z52)</f>
        <v>275.12</v>
      </c>
      <c r="AB52" s="10">
        <f>ROUND(AA52/172.5,1)</f>
        <v>1.6</v>
      </c>
      <c r="AC52" s="14">
        <f>IF(VLOOKUP($A52,Courses!$A$2:$P$268,7,FALSE)="Y",1,0)</f>
        <v>0</v>
      </c>
      <c r="AD52" s="14">
        <f>VLOOKUP($A52,Courses!$A$2:$P$268,8,FALSE)</f>
        <v>0</v>
      </c>
      <c r="AE52" s="14">
        <f>VLOOKUP($A52,Courses!$A$2:$P$268,9,FALSE)</f>
        <v>7</v>
      </c>
      <c r="AF52" s="14">
        <f>VLOOKUP($A52,Courses!$A$2:$P$268,10,FALSE)</f>
        <v>4</v>
      </c>
      <c r="AG52" s="14">
        <f>VLOOKUP($A52,Courses!$A$2:$P$268,11,FALSE)</f>
        <v>7</v>
      </c>
      <c r="AH52" s="15">
        <f>VLOOKUP($A52,Courses!$A$2:$P$268,12,FALSE)</f>
        <v>4</v>
      </c>
      <c r="AI52" s="15">
        <f>VLOOKUP($A52,Courses!$A$2:$P$268,13,FALSE)</f>
        <v>156</v>
      </c>
      <c r="AJ52" s="15">
        <f>VLOOKUP($A52,Courses!$A$2:$P$268,14,FALSE)</f>
        <v>0</v>
      </c>
      <c r="AK52" s="15">
        <f>VLOOKUP($A52,Courses!$A$2:$P$268,15,FALSE)</f>
        <v>0</v>
      </c>
      <c r="AL52" s="15">
        <f>VLOOKUP($A52,Courses!$A$2:$P$268,16,FALSE)</f>
        <v>4</v>
      </c>
    </row>
    <row r="53" spans="1:38">
      <c r="A53" s="13" t="str">
        <f>CONCATENATE(D53,H53)</f>
        <v>ECON3330S2</v>
      </c>
      <c r="B53" s="69" t="s">
        <v>122</v>
      </c>
      <c r="D53" s="80" t="s">
        <v>123</v>
      </c>
      <c r="E53" s="13" t="str">
        <f>IF(VLOOKUP($A53,Courses!$A$2:$F$268,3,FALSE)=0,"",VLOOKUP($A53,Courses!$A$2:$F$268,3,FALSE))</f>
        <v/>
      </c>
      <c r="F53" s="13" t="str">
        <f>IF(VLOOKUP($A53,Courses!$A$2:$F$268,4,FALSE)=0,"",VLOOKUP($A53,Courses!$A$2:$F$268,4,FALSE))</f>
        <v/>
      </c>
      <c r="G53" s="13" t="str">
        <f>VLOOKUP($A53,Courses!$A$2:$F$268,5,FALSE)</f>
        <v>Econometric Analysis</v>
      </c>
      <c r="H53" s="70" t="s">
        <v>254</v>
      </c>
      <c r="I53" s="21" t="s">
        <v>252</v>
      </c>
      <c r="J53" s="70" t="s">
        <v>252</v>
      </c>
      <c r="K53" s="138" t="s">
        <v>252</v>
      </c>
      <c r="L53" s="120">
        <v>1</v>
      </c>
      <c r="M53" s="71">
        <v>13</v>
      </c>
      <c r="N53" s="21"/>
      <c r="O53" s="21"/>
      <c r="P53" s="12">
        <f>IF($I53="Y",(wCCH1+wCCH2*$AJ53)*($AE53*$AF53)+(1-$AC53)*MIN(wCCH3*$AI53,maxCCH) + $AC53*MIN(wCCH4*$AI53,maxCCH),0)</f>
        <v>27.484999999999999</v>
      </c>
      <c r="Q53" s="12">
        <f>IF($J53="Y",(wTCH1+wTCH2*IF($K53="Y",1,0))*$AG53*$AH53+(1-$AC53)*MIN(wTCH3*$AI53,maxTCH) + $AC53*MIN(wTCH4*$AI53,maxTCH),0)</f>
        <v>36.6875</v>
      </c>
      <c r="R53" s="10">
        <f>(wOLH1+wOLH2*IF($K53="Y",1,0)+wOLH3*$AD53)*$T53 + wRLH*$U53</f>
        <v>130</v>
      </c>
      <c r="S53" s="10">
        <f>wOTH*$V53 + wRTH*$W53</f>
        <v>0</v>
      </c>
      <c r="T53" s="10">
        <f>IF($L53&gt;0,$M53*$AF53,0)</f>
        <v>26</v>
      </c>
      <c r="U53" s="10">
        <f>IF($L53&gt;1,($L53-1)*$M53*$AF53,0)</f>
        <v>0</v>
      </c>
      <c r="V53" s="10">
        <f>IF($N53&gt;0,$O53*$AH53,0)</f>
        <v>0</v>
      </c>
      <c r="W53" s="10">
        <f>IF($N53&gt;1,($N53-1)*$O53*$AH53,0)</f>
        <v>0</v>
      </c>
      <c r="X53" s="12">
        <f>(wAPH1+wAPH2*IF($K53="Y",1,0)+wAPH3*$AJ53)*IF($AE53&gt;0,$M53/$AE53,0)</f>
        <v>70</v>
      </c>
      <c r="Y53" s="33">
        <f>wCMH*MIN($AI53,maxCMH)*IF($AE53&gt;0,$M53/$AE53,1)</f>
        <v>11</v>
      </c>
      <c r="Z53" s="12">
        <f>wCACH1*($T53+$V53) +((1-$AC53)*MIN(wCACH2*$AI53,maxCACH) + $AC53*MIN(wCACH3*$AI53,maxCACH))*IF($AE53&gt;0,$M53/$AE53,1)</f>
        <v>27.484999999999999</v>
      </c>
      <c r="AA53" s="12">
        <f>SUM($P53:$Z53)</f>
        <v>328.65750000000003</v>
      </c>
      <c r="AB53" s="10">
        <f>ROUND(AA53/172.5,1)</f>
        <v>1.9</v>
      </c>
      <c r="AC53" s="14">
        <f>IF(VLOOKUP($A53,Courses!$A$2:$P$268,7,FALSE)="Y",1,0)</f>
        <v>0</v>
      </c>
      <c r="AD53" s="14">
        <f>VLOOKUP($A53,Courses!$A$2:$P$268,8,FALSE)</f>
        <v>0</v>
      </c>
      <c r="AE53" s="14">
        <f>VLOOKUP($A53,Courses!$A$2:$P$268,9,FALSE)</f>
        <v>13</v>
      </c>
      <c r="AF53" s="14">
        <f>VLOOKUP($A53,Courses!$A$2:$P$268,10,FALSE)</f>
        <v>2</v>
      </c>
      <c r="AG53" s="14">
        <f>VLOOKUP($A53,Courses!$A$2:$P$268,11,FALSE)</f>
        <v>12</v>
      </c>
      <c r="AH53" s="15">
        <f>VLOOKUP($A53,Courses!$A$2:$P$268,12,FALSE)</f>
        <v>1.5</v>
      </c>
      <c r="AI53" s="15">
        <f>VLOOKUP($A53,Courses!$A$2:$P$268,13,FALSE)</f>
        <v>11</v>
      </c>
      <c r="AJ53" s="15">
        <f>VLOOKUP($A53,Courses!$A$2:$P$268,14,FALSE)</f>
        <v>0</v>
      </c>
      <c r="AK53" s="15">
        <f>VLOOKUP($A53,Courses!$A$2:$P$268,15,FALSE)</f>
        <v>0</v>
      </c>
      <c r="AL53" s="15">
        <f>VLOOKUP($A53,Courses!$A$2:$P$268,16,FALSE)</f>
        <v>1</v>
      </c>
    </row>
    <row r="54" spans="1:38">
      <c r="A54" s="13" t="str">
        <f>CONCATENATE(D54,H54)</f>
        <v>ECON3340S1</v>
      </c>
      <c r="B54" s="69" t="s">
        <v>16</v>
      </c>
      <c r="C54" s="70">
        <v>2019</v>
      </c>
      <c r="D54" s="80" t="s">
        <v>169</v>
      </c>
      <c r="E54" s="13" t="str">
        <f>IF(VLOOKUP($A54,Courses!$A$2:$F$268,3,FALSE)=0,"",VLOOKUP($A54,Courses!$A$2:$F$268,3,FALSE))</f>
        <v/>
      </c>
      <c r="F54" s="13" t="str">
        <f>IF(VLOOKUP($A54,Courses!$A$2:$F$268,4,FALSE)=0,"",VLOOKUP($A54,Courses!$A$2:$F$268,4,FALSE))</f>
        <v/>
      </c>
      <c r="G54" s="13" t="str">
        <f>VLOOKUP($A54,Courses!$A$2:$F$268,5,FALSE)</f>
        <v>Productivity and Efficiency Analysis</v>
      </c>
      <c r="H54" s="70" t="s">
        <v>253</v>
      </c>
      <c r="I54" s="21" t="s">
        <v>252</v>
      </c>
      <c r="J54" s="70" t="s">
        <v>252</v>
      </c>
      <c r="L54" s="120">
        <v>1</v>
      </c>
      <c r="M54" s="71">
        <v>13</v>
      </c>
      <c r="N54" s="21"/>
      <c r="O54" s="21"/>
      <c r="P54" s="12">
        <f>IF($I54="Y",(wCCH1+wCCH2*$AJ54)*($AE54*$AF54)+(1-$AC54)*MIN(wCCH3*$AI54,maxCCH) + $AC54*MIN(wCCH4*$AI54,maxCCH),0)</f>
        <v>29.375</v>
      </c>
      <c r="Q54" s="12">
        <f>IF($J54="Y",(wTCH1+wTCH2*IF($K54="Y",1,0))*$AG54*$AH54+(1-$AC54)*MIN(wTCH3*$AI54,maxTCH) + $AC54*MIN(wTCH4*$AI54,maxTCH),0)</f>
        <v>27.5625</v>
      </c>
      <c r="R54" s="10">
        <f>(wOLH1+wOLH2*IF($K54="Y",1,0)+wOLH3*$AD54)*$T54 + wRLH*$U54</f>
        <v>78</v>
      </c>
      <c r="S54" s="10">
        <f>wOTH*$V54 + wRTH*$W54</f>
        <v>0</v>
      </c>
      <c r="T54" s="10">
        <f>IF($L54&gt;0,$M54*$AF54,0)</f>
        <v>26</v>
      </c>
      <c r="U54" s="10">
        <f>IF($L54&gt;1,($L54-1)*$M54*$AF54,0)</f>
        <v>0</v>
      </c>
      <c r="V54" s="10">
        <f>IF($N54&gt;0,$O54*$AH54,0)</f>
        <v>0</v>
      </c>
      <c r="W54" s="10">
        <f>IF($N54&gt;1,($N54-1)*$O54*$AH54,0)</f>
        <v>0</v>
      </c>
      <c r="X54" s="12">
        <f>(wAPH1+wAPH2*IF($K54="Y",1,0)+wAPH3*$AJ54)*IF($AE54&gt;0,$M54/$AE54,0)</f>
        <v>50</v>
      </c>
      <c r="Y54" s="33">
        <f>wCMH*MIN($AI54,maxCMH)*IF($AE54&gt;0,$M54/$AE54,1)</f>
        <v>15</v>
      </c>
      <c r="Z54" s="12">
        <f>wCACH1*($T54+$V54) +((1-$AC54)*MIN(wCACH2*$AI54,maxCACH) + $AC54*MIN(wCACH3*$AI54,maxCACH))*IF($AE54&gt;0,$M54/$AE54,1)</f>
        <v>29.375</v>
      </c>
      <c r="AA54" s="12">
        <f>SUM($P54:$Z54)</f>
        <v>255.3125</v>
      </c>
      <c r="AB54" s="10">
        <f>ROUND(AA54/172.5,1)</f>
        <v>1.5</v>
      </c>
      <c r="AC54" s="14">
        <f>IF(VLOOKUP($A54,Courses!$A$2:$P$268,7,FALSE)="Y",1,0)</f>
        <v>0</v>
      </c>
      <c r="AD54" s="14">
        <f>VLOOKUP($A54,Courses!$A$2:$P$268,8,FALSE)</f>
        <v>0</v>
      </c>
      <c r="AE54" s="14">
        <f>VLOOKUP($A54,Courses!$A$2:$P$268,9,FALSE)</f>
        <v>13</v>
      </c>
      <c r="AF54" s="14">
        <f>VLOOKUP($A54,Courses!$A$2:$P$268,10,FALSE)</f>
        <v>2</v>
      </c>
      <c r="AG54" s="14">
        <f>VLOOKUP($A54,Courses!$A$2:$P$268,11,FALSE)</f>
        <v>13</v>
      </c>
      <c r="AH54" s="15">
        <f>VLOOKUP($A54,Courses!$A$2:$P$268,12,FALSE)</f>
        <v>2</v>
      </c>
      <c r="AI54" s="15">
        <f>VLOOKUP($A54,Courses!$A$2:$P$268,13,FALSE)</f>
        <v>25</v>
      </c>
      <c r="AJ54" s="15">
        <f>VLOOKUP($A54,Courses!$A$2:$P$268,14,FALSE)</f>
        <v>0</v>
      </c>
      <c r="AK54" s="15">
        <f>VLOOKUP($A54,Courses!$A$2:$P$268,15,FALSE)</f>
        <v>0</v>
      </c>
      <c r="AL54" s="15">
        <f>VLOOKUP($A54,Courses!$A$2:$P$268,16,FALSE)</f>
        <v>1</v>
      </c>
    </row>
    <row r="55" spans="1:38" ht="14.1" customHeight="1">
      <c r="A55" s="13" t="str">
        <f>CONCATENATE(D55,H55)</f>
        <v>ECON3350S1</v>
      </c>
      <c r="B55" s="69" t="s">
        <v>129</v>
      </c>
      <c r="C55" s="83">
        <v>2020</v>
      </c>
      <c r="D55" s="80" t="s">
        <v>218</v>
      </c>
      <c r="E55" s="13" t="str">
        <f>IF(VLOOKUP($A55,Courses!$A$2:$F$268,3,FALSE)=0,"",VLOOKUP($A55,Courses!$A$2:$F$268,3,FALSE))</f>
        <v/>
      </c>
      <c r="F55" s="13" t="str">
        <f>IF(VLOOKUP($A55,Courses!$A$2:$F$268,4,FALSE)=0,"",VLOOKUP($A55,Courses!$A$2:$F$268,4,FALSE))</f>
        <v/>
      </c>
      <c r="G55" s="13" t="str">
        <f>VLOOKUP($A55,Courses!$A$2:$F$268,5,FALSE)</f>
        <v>Applied Econometrics for Macro &amp; Finance</v>
      </c>
      <c r="H55" s="70" t="s">
        <v>253</v>
      </c>
      <c r="I55" s="21" t="s">
        <v>252</v>
      </c>
      <c r="J55" s="70" t="s">
        <v>252</v>
      </c>
      <c r="L55" s="120">
        <v>1</v>
      </c>
      <c r="M55" s="71">
        <v>13</v>
      </c>
      <c r="N55" s="21"/>
      <c r="O55" s="21"/>
      <c r="P55" s="12">
        <f>IF($I55="Y",(wCCH1+wCCH2*$AJ55)*($AE55*$AF55)+(1-$AC55)*MIN(wCCH3*$AI55,maxCCH) + $AC55*MIN(wCCH4*$AI55,maxCCH),0)</f>
        <v>45.034999999999997</v>
      </c>
      <c r="Q55" s="12">
        <f>IF($J55="Y",(wTCH1+wTCH2*IF($K55="Y",1,0))*$AG55*$AH55+(1-$AC55)*MIN(wTCH3*$AI55,maxTCH) + $AC55*MIN(wTCH4*$AI55,maxTCH),0)</f>
        <v>34.8125</v>
      </c>
      <c r="R55" s="10">
        <f>(wOLH1+wOLH2*IF($K55="Y",1,0)+wOLH3*$AD55)*$T55 + wRLH*$U55</f>
        <v>78</v>
      </c>
      <c r="S55" s="10">
        <f>wOTH*$V55 + wRTH*$W55</f>
        <v>0</v>
      </c>
      <c r="T55" s="10">
        <f>IF($L55&gt;0,$M55*$AF55,0)</f>
        <v>26</v>
      </c>
      <c r="U55" s="10">
        <f>IF($L55&gt;1,($L55-1)*$M55*$AF55,0)</f>
        <v>0</v>
      </c>
      <c r="V55" s="10">
        <f>IF($N55&gt;0,$O55*$AH55,0)</f>
        <v>0</v>
      </c>
      <c r="W55" s="10">
        <f>IF($N55&gt;1,($N55-1)*$O55*$AH55,0)</f>
        <v>0</v>
      </c>
      <c r="X55" s="12">
        <f>(wAPH1+wAPH2*IF($K55="Y",1,0)+wAPH3*$AJ55)*IF($AE55&gt;0,$M55/$AE55,0)</f>
        <v>50</v>
      </c>
      <c r="Y55" s="33">
        <f>wCMH*MIN($AI55,maxCMH)*IF($AE55&gt;0,$M55/$AE55,1)</f>
        <v>15</v>
      </c>
      <c r="Z55" s="12">
        <f>wCACH1*($T55+$V55) +((1-$AC55)*MIN(wCACH2*$AI55,maxCACH) + $AC55*MIN(wCACH3*$AI55,maxCACH))*IF($AE55&gt;0,$M55/$AE55,1)</f>
        <v>45.034999999999997</v>
      </c>
      <c r="AA55" s="12">
        <f>SUM($P55:$Z55)</f>
        <v>293.88249999999999</v>
      </c>
      <c r="AB55" s="10">
        <f>ROUND(AA55/172.5,1)</f>
        <v>1.7</v>
      </c>
      <c r="AC55" s="14">
        <f>IF(VLOOKUP($A55,Courses!$A$2:$P$268,7,FALSE)="Y",1,0)</f>
        <v>0</v>
      </c>
      <c r="AD55" s="14">
        <f>VLOOKUP($A55,Courses!$A$2:$P$268,8,FALSE)</f>
        <v>0</v>
      </c>
      <c r="AE55" s="14">
        <f>VLOOKUP($A55,Courses!$A$2:$P$268,9,FALSE)</f>
        <v>13</v>
      </c>
      <c r="AF55" s="14">
        <f>VLOOKUP($A55,Courses!$A$2:$P$268,10,FALSE)</f>
        <v>2</v>
      </c>
      <c r="AG55" s="14">
        <f>VLOOKUP($A55,Courses!$A$2:$P$268,11,FALSE)</f>
        <v>13</v>
      </c>
      <c r="AH55" s="15">
        <f>VLOOKUP($A55,Courses!$A$2:$P$268,12,FALSE)</f>
        <v>2</v>
      </c>
      <c r="AI55" s="15">
        <f>VLOOKUP($A55,Courses!$A$2:$P$268,13,FALSE)</f>
        <v>141</v>
      </c>
      <c r="AJ55" s="15">
        <f>VLOOKUP($A55,Courses!$A$2:$P$268,14,FALSE)</f>
        <v>0</v>
      </c>
      <c r="AK55" s="15">
        <f>VLOOKUP($A55,Courses!$A$2:$P$268,15,FALSE)</f>
        <v>0</v>
      </c>
      <c r="AL55" s="15">
        <f>VLOOKUP($A55,Courses!$A$2:$P$268,16,FALSE)</f>
        <v>4</v>
      </c>
    </row>
    <row r="56" spans="1:38" s="50" customFormat="1">
      <c r="A56" s="13" t="str">
        <f>CONCATENATE(D56,H56)</f>
        <v>ECON3360S2</v>
      </c>
      <c r="B56" s="69" t="s">
        <v>134</v>
      </c>
      <c r="C56" s="70">
        <v>2020</v>
      </c>
      <c r="D56" s="80" t="s">
        <v>25</v>
      </c>
      <c r="E56" s="13" t="str">
        <f>IF(VLOOKUP($A56,Courses!$A$2:$F$268,3,FALSE)=0,"",VLOOKUP($A56,Courses!$A$2:$F$268,3,FALSE))</f>
        <v/>
      </c>
      <c r="F56" s="13" t="str">
        <f>IF(VLOOKUP($A56,Courses!$A$2:$F$268,4,FALSE)=0,"",VLOOKUP($A56,Courses!$A$2:$F$268,4,FALSE))</f>
        <v/>
      </c>
      <c r="G56" s="13" t="str">
        <f>VLOOKUP($A56,Courses!$A$2:$F$268,5,FALSE)</f>
        <v>Causal Inference for Microeconometrics</v>
      </c>
      <c r="H56" s="70" t="s">
        <v>254</v>
      </c>
      <c r="I56" s="21" t="s">
        <v>252</v>
      </c>
      <c r="J56" s="70" t="s">
        <v>252</v>
      </c>
      <c r="K56" s="70"/>
      <c r="L56" s="120">
        <v>1</v>
      </c>
      <c r="M56" s="71">
        <v>13</v>
      </c>
      <c r="N56" s="21">
        <v>2</v>
      </c>
      <c r="O56" s="21">
        <v>12</v>
      </c>
      <c r="P56" s="12">
        <f>IF($I56="Y",(wCCH1+wCCH2*$AJ56)*($AE56*$AF56)+(1-$AC56)*MIN(wCCH3*$AI56,maxCCH) + $AC56*MIN(wCCH4*$AI56,maxCCH),0)</f>
        <v>35.314999999999998</v>
      </c>
      <c r="Q56" s="12">
        <f>IF($J56="Y",(wTCH1+wTCH2*IF($K56="Y",1,0))*$AG56*$AH56+(1-$AC56)*MIN(wTCH3*$AI56,maxTCH) + $AC56*MIN(wTCH4*$AI56,maxTCH),0)</f>
        <v>28.3125</v>
      </c>
      <c r="R56" s="10">
        <f>(wOLH1+wOLH2*IF($K56="Y",1,0)+wOLH3*$AD56)*$T56 + wRLH*$U56</f>
        <v>78</v>
      </c>
      <c r="S56" s="10">
        <f>wOTH*$V56 + wRTH*$W56</f>
        <v>24</v>
      </c>
      <c r="T56" s="10">
        <f>IF($L56&gt;0,$M56*$AF56,0)</f>
        <v>26</v>
      </c>
      <c r="U56" s="10">
        <f>IF($L56&gt;1,($L56-1)*$M56*$AF56,0)</f>
        <v>0</v>
      </c>
      <c r="V56" s="10">
        <f>IF($N56&gt;0,$O56*$AH56,0)</f>
        <v>24</v>
      </c>
      <c r="W56" s="10">
        <f>IF($N56&gt;1,($N56-1)*$O56*$AH56,0)</f>
        <v>24</v>
      </c>
      <c r="X56" s="12">
        <f>(wAPH1+wAPH2*IF($K56="Y",1,0)+wAPH3*$AJ56)*IF($AE56&gt;0,$M56/$AE56,0)</f>
        <v>50</v>
      </c>
      <c r="Y56" s="33">
        <f>wCMH*MIN($AI56,maxCMH)*IF($AE56&gt;0,$M56/$AE56,1)</f>
        <v>15</v>
      </c>
      <c r="Z56" s="12">
        <f>wCACH1*($T56+$V56) +((1-$AC56)*MIN(wCACH2*$AI56,maxCACH) + $AC56*MIN(wCACH3*$AI56,maxCACH))*IF($AE56&gt;0,$M56/$AE56,1)</f>
        <v>59.314999999999998</v>
      </c>
      <c r="AA56" s="12">
        <f>SUM($P56:$Z56)</f>
        <v>363.9425</v>
      </c>
      <c r="AB56" s="10">
        <f>ROUND(AA56/172.5,1)</f>
        <v>2.1</v>
      </c>
      <c r="AC56" s="14">
        <f>IF(VLOOKUP($A56,Courses!$A$2:$P$268,7,FALSE)="Y",1,0)</f>
        <v>0</v>
      </c>
      <c r="AD56" s="14">
        <f>VLOOKUP($A56,Courses!$A$2:$P$268,8,FALSE)</f>
        <v>0</v>
      </c>
      <c r="AE56" s="14">
        <f>VLOOKUP($A56,Courses!$A$2:$P$268,9,FALSE)</f>
        <v>13</v>
      </c>
      <c r="AF56" s="14">
        <f>VLOOKUP($A56,Courses!$A$2:$P$268,10,FALSE)</f>
        <v>2</v>
      </c>
      <c r="AG56" s="14">
        <f>VLOOKUP($A56,Courses!$A$2:$P$268,11,FALSE)</f>
        <v>12</v>
      </c>
      <c r="AH56" s="15">
        <f>VLOOKUP($A56,Courses!$A$2:$P$268,12,FALSE)</f>
        <v>2</v>
      </c>
      <c r="AI56" s="15">
        <f>VLOOKUP($A56,Courses!$A$2:$P$268,13,FALSE)</f>
        <v>69</v>
      </c>
      <c r="AJ56" s="15">
        <f>VLOOKUP($A56,Courses!$A$2:$P$268,14,FALSE)</f>
        <v>0</v>
      </c>
      <c r="AK56" s="15">
        <f>VLOOKUP($A56,Courses!$A$2:$P$268,15,FALSE)</f>
        <v>0</v>
      </c>
      <c r="AL56" s="15">
        <f>VLOOKUP($A56,Courses!$A$2:$P$268,16,FALSE)</f>
        <v>2</v>
      </c>
    </row>
    <row r="57" spans="1:38">
      <c r="A57" s="13" t="str">
        <f>CONCATENATE(D57,H57)</f>
        <v>ECON3380S1</v>
      </c>
      <c r="B57" s="69" t="s">
        <v>19</v>
      </c>
      <c r="D57" s="80" t="s">
        <v>566</v>
      </c>
      <c r="E57" s="13" t="str">
        <f>IF(VLOOKUP($A57,Courses!$A$2:$F$268,3,FALSE)=0,"",VLOOKUP($A57,Courses!$A$2:$F$268,3,FALSE))</f>
        <v/>
      </c>
      <c r="F57" s="13" t="str">
        <f>IF(VLOOKUP($A57,Courses!$A$2:$F$268,4,FALSE)=0,"",VLOOKUP($A57,Courses!$A$2:$F$268,4,FALSE))</f>
        <v/>
      </c>
      <c r="G57" s="13" t="str">
        <f>VLOOKUP($A57,Courses!$A$2:$F$268,5,FALSE)</f>
        <v>Practicum</v>
      </c>
      <c r="H57" s="70" t="s">
        <v>253</v>
      </c>
      <c r="I57" s="21" t="s">
        <v>252</v>
      </c>
      <c r="J57" s="70" t="s">
        <v>252</v>
      </c>
      <c r="K57" s="70" t="s">
        <v>252</v>
      </c>
      <c r="L57" s="120">
        <v>1</v>
      </c>
      <c r="M57" s="71">
        <v>5</v>
      </c>
      <c r="N57" s="21">
        <v>1</v>
      </c>
      <c r="O57" s="21">
        <v>7</v>
      </c>
      <c r="P57" s="12">
        <f>IF($I57="Y",(wCCH1+wCCH2*$AJ57)*($AE57*$AF57)+(1-$AC57)*MIN(wCCH3*$AI57,maxCCH) + $AC57*MIN(wCCH4*$AI57,maxCCH),0)</f>
        <v>21.35</v>
      </c>
      <c r="Q57" s="12">
        <f>IF($J57="Y",(wTCH1+wTCH2*IF($K57="Y",1,0))*$AG57*$AH57+(1-$AC57)*MIN(wTCH3*$AI57,maxTCH) + $AC57*MIN(wTCH4*$AI57,maxTCH),0)</f>
        <v>14.625</v>
      </c>
      <c r="R57" s="10">
        <f>(wOLH1+wOLH2*IF($K57="Y",1,0)+wOLH3*$AD57)*$T57 + wRLH*$U57</f>
        <v>100</v>
      </c>
      <c r="S57" s="10">
        <f>wOTH*$V57 + wRTH*$W57</f>
        <v>7</v>
      </c>
      <c r="T57" s="10">
        <f>IF($L57&gt;0,$M57*$AF57,0)</f>
        <v>20</v>
      </c>
      <c r="U57" s="10">
        <f>IF($L57&gt;1,($L57-1)*$M57*$AF57,0)</f>
        <v>0</v>
      </c>
      <c r="V57" s="10">
        <f>IF($N57&gt;0,$O57*$AH57,0)</f>
        <v>7</v>
      </c>
      <c r="W57" s="10">
        <f>IF($N57&gt;1,($N57-1)*$O57*$AH57,0)</f>
        <v>0</v>
      </c>
      <c r="X57" s="12">
        <f>(wAPH1+wAPH2*IF($K57="Y",1,0)+wAPH3*$AJ57)*IF($AE57&gt;0,$M57/$AE57,0)</f>
        <v>70</v>
      </c>
      <c r="Y57" s="33">
        <f>wCMH*MIN($AI57,maxCMH)*IF($AE57&gt;0,$M57/$AE57,1)</f>
        <v>10</v>
      </c>
      <c r="Z57" s="12">
        <f>wCACH1*($T57+$V57) +((1-$AC57)*MIN(wCACH2*$AI57,maxCACH) + $AC57*MIN(wCACH3*$AI57,maxCACH))*IF($AE57&gt;0,$M57/$AE57,1)</f>
        <v>28.35</v>
      </c>
      <c r="AA57" s="12">
        <f>SUM($P57:$Z57)</f>
        <v>278.32499999999999</v>
      </c>
      <c r="AB57" s="10">
        <f>ROUND(AA57/172.5,1)</f>
        <v>1.6</v>
      </c>
      <c r="AC57" s="14">
        <f>IF(VLOOKUP($A57,Courses!$A$2:$P$268,7,FALSE)="Y",1,0)</f>
        <v>0</v>
      </c>
      <c r="AD57" s="14">
        <f>VLOOKUP($A57,Courses!$A$2:$P$268,8,FALSE)</f>
        <v>0</v>
      </c>
      <c r="AE57" s="14">
        <f>VLOOKUP($A57,Courses!$A$2:$P$268,9,FALSE)</f>
        <v>5</v>
      </c>
      <c r="AF57" s="14">
        <f>VLOOKUP($A57,Courses!$A$2:$P$268,10,FALSE)</f>
        <v>4</v>
      </c>
      <c r="AG57" s="14">
        <f>VLOOKUP($A57,Courses!$A$2:$P$268,11,FALSE)</f>
        <v>7</v>
      </c>
      <c r="AH57" s="15">
        <f>VLOOKUP($A57,Courses!$A$2:$P$268,12,FALSE)</f>
        <v>1</v>
      </c>
      <c r="AI57" s="15">
        <f>VLOOKUP($A57,Courses!$A$2:$P$268,13,FALSE)</f>
        <v>10</v>
      </c>
      <c r="AJ57" s="15">
        <f>VLOOKUP($A57,Courses!$A$2:$P$268,14,FALSE)</f>
        <v>0</v>
      </c>
      <c r="AK57" s="15">
        <f>VLOOKUP($A57,Courses!$A$2:$P$268,15,FALSE)</f>
        <v>0</v>
      </c>
      <c r="AL57" s="15">
        <f>VLOOKUP($A57,Courses!$A$2:$P$268,16,FALSE)</f>
        <v>1</v>
      </c>
    </row>
    <row r="58" spans="1:38">
      <c r="A58" s="13" t="str">
        <f>CONCATENATE(D58,H58)</f>
        <v>ECON3430S1</v>
      </c>
      <c r="B58" s="69" t="s">
        <v>11</v>
      </c>
      <c r="C58" s="83">
        <v>2020</v>
      </c>
      <c r="D58" s="80" t="s">
        <v>1</v>
      </c>
      <c r="E58" s="13" t="str">
        <f>IF(VLOOKUP($A58,Courses!$A$2:$F$268,3,FALSE)=0,"",VLOOKUP($A58,Courses!$A$2:$F$268,3,FALSE))</f>
        <v/>
      </c>
      <c r="F58" s="13" t="str">
        <f>IF(VLOOKUP($A58,Courses!$A$2:$F$268,4,FALSE)=0,"",VLOOKUP($A58,Courses!$A$2:$F$268,4,FALSE))</f>
        <v/>
      </c>
      <c r="G58" s="13" t="str">
        <f>VLOOKUP($A58,Courses!$A$2:$F$268,5,FALSE)</f>
        <v>Managerial Economics</v>
      </c>
      <c r="H58" s="70" t="s">
        <v>253</v>
      </c>
      <c r="I58" s="21" t="s">
        <v>252</v>
      </c>
      <c r="J58" s="70" t="s">
        <v>252</v>
      </c>
      <c r="L58" s="120">
        <v>1</v>
      </c>
      <c r="M58" s="71">
        <v>13</v>
      </c>
      <c r="N58" s="21"/>
      <c r="O58" s="21"/>
      <c r="P58" s="12">
        <f>IF($I58="Y",(wCCH1+wCCH2*$AJ58)*($AE58*$AF58)+(1-$AC58)*MIN(wCCH3*$AI58,maxCCH) + $AC58*MIN(wCCH4*$AI58,maxCCH),0)</f>
        <v>45.575000000000003</v>
      </c>
      <c r="Q58" s="12">
        <f>IF($J58="Y",(wTCH1+wTCH2*IF($K58="Y",1,0))*$AG58*$AH58+(1-$AC58)*MIN(wTCH3*$AI58,maxTCH) + $AC58*MIN(wTCH4*$AI58,maxTCH),0)</f>
        <v>21.0625</v>
      </c>
      <c r="R58" s="10">
        <f>(wOLH1+wOLH2*IF($K58="Y",1,0)+wOLH3*$AD58)*$T58 + wRLH*$U58</f>
        <v>78</v>
      </c>
      <c r="S58" s="10">
        <f>wOTH*$V58 + wRTH*$W58</f>
        <v>0</v>
      </c>
      <c r="T58" s="10">
        <f>IF($L58&gt;0,$M58*$AF58,0)</f>
        <v>26</v>
      </c>
      <c r="U58" s="10">
        <f>IF($L58&gt;1,($L58-1)*$M58*$AF58,0)</f>
        <v>0</v>
      </c>
      <c r="V58" s="10">
        <f>IF($N58&gt;0,$O58*$AH58,0)</f>
        <v>0</v>
      </c>
      <c r="W58" s="10">
        <f>IF($N58&gt;1,($N58-1)*$O58*$AH58,0)</f>
        <v>0</v>
      </c>
      <c r="X58" s="12">
        <f>(wAPH1+wAPH2*IF($K58="Y",1,0)+wAPH3*$AJ58)*IF($AE58&gt;0,$M58/$AE58,0)</f>
        <v>50</v>
      </c>
      <c r="Y58" s="33">
        <f>wCMH*MIN($AI58,maxCMH)*IF($AE58&gt;0,$M58/$AE58,1)</f>
        <v>15</v>
      </c>
      <c r="Z58" s="12">
        <f>wCACH1*($T58+$V58) +((1-$AC58)*MIN(wCACH2*$AI58,maxCACH) + $AC58*MIN(wCACH3*$AI58,maxCACH))*IF($AE58&gt;0,$M58/$AE58,1)</f>
        <v>45.575000000000003</v>
      </c>
      <c r="AA58" s="12">
        <f>SUM($P58:$Z58)</f>
        <v>281.21249999999998</v>
      </c>
      <c r="AB58" s="10">
        <f>ROUND(AA58/172.5,1)</f>
        <v>1.6</v>
      </c>
      <c r="AC58" s="14">
        <f>IF(VLOOKUP($A58,Courses!$A$2:$P$268,7,FALSE)="Y",1,0)</f>
        <v>0</v>
      </c>
      <c r="AD58" s="14">
        <f>VLOOKUP($A58,Courses!$A$2:$P$268,8,FALSE)</f>
        <v>0</v>
      </c>
      <c r="AE58" s="14">
        <f>VLOOKUP($A58,Courses!$A$2:$P$268,9,FALSE)</f>
        <v>13</v>
      </c>
      <c r="AF58" s="14">
        <f>VLOOKUP($A58,Courses!$A$2:$P$268,10,FALSE)</f>
        <v>2</v>
      </c>
      <c r="AG58" s="14">
        <f>VLOOKUP($A58,Courses!$A$2:$P$268,11,FALSE)</f>
        <v>12</v>
      </c>
      <c r="AH58" s="15">
        <f>VLOOKUP($A58,Courses!$A$2:$P$268,12,FALSE)</f>
        <v>1</v>
      </c>
      <c r="AI58" s="15">
        <f>VLOOKUP($A58,Courses!$A$2:$P$268,13,FALSE)</f>
        <v>145</v>
      </c>
      <c r="AJ58" s="15">
        <f>VLOOKUP($A58,Courses!$A$2:$P$268,14,FALSE)</f>
        <v>0</v>
      </c>
      <c r="AK58" s="15">
        <f>VLOOKUP($A58,Courses!$A$2:$P$268,15,FALSE)</f>
        <v>0</v>
      </c>
      <c r="AL58" s="15">
        <f>VLOOKUP($A58,Courses!$A$2:$P$268,16,FALSE)</f>
        <v>4</v>
      </c>
    </row>
    <row r="59" spans="1:38">
      <c r="A59" s="13" t="str">
        <f>CONCATENATE(D59,H59)</f>
        <v>ECON3440S1</v>
      </c>
      <c r="B59" s="69" t="s">
        <v>10</v>
      </c>
      <c r="C59" s="70">
        <v>2020</v>
      </c>
      <c r="D59" s="80" t="s">
        <v>87</v>
      </c>
      <c r="E59" s="13" t="str">
        <f>IF(VLOOKUP($A59,Courses!$A$2:$F$268,3,FALSE)=0,"",VLOOKUP($A59,Courses!$A$2:$F$268,3,FALSE))</f>
        <v/>
      </c>
      <c r="F59" s="13" t="str">
        <f>IF(VLOOKUP($A59,Courses!$A$2:$F$268,4,FALSE)=0,"",VLOOKUP($A59,Courses!$A$2:$F$268,4,FALSE))</f>
        <v/>
      </c>
      <c r="G59" s="13" t="str">
        <f>VLOOKUP($A59,Courses!$A$2:$F$268,5,FALSE)</f>
        <v>Competition Policy &amp; Regulation</v>
      </c>
      <c r="H59" s="70" t="s">
        <v>253</v>
      </c>
      <c r="I59" s="21" t="s">
        <v>252</v>
      </c>
      <c r="J59" s="70" t="s">
        <v>252</v>
      </c>
      <c r="L59" s="120">
        <v>1</v>
      </c>
      <c r="M59" s="71">
        <v>13</v>
      </c>
      <c r="N59" s="21"/>
      <c r="O59" s="21"/>
      <c r="P59" s="12">
        <f>IF($I59="Y",(wCCH1+wCCH2*$AJ59)*($AE59*$AF59)+(1-$AC59)*MIN(wCCH3*$AI59,maxCCH) + $AC59*MIN(wCCH4*$AI59,maxCCH),0)</f>
        <v>47.33</v>
      </c>
      <c r="Q59" s="12">
        <f>IF($J59="Y",(wTCH1+wTCH2*IF($K59="Y",1,0))*$AG59*$AH59+(1-$AC59)*MIN(wTCH3*$AI59,maxTCH) + $AC59*MIN(wTCH4*$AI59,maxTCH),0)</f>
        <v>21.875</v>
      </c>
      <c r="R59" s="10">
        <f>(wOLH1+wOLH2*IF($K59="Y",1,0)+wOLH3*$AD59)*$T59 + wRLH*$U59</f>
        <v>78</v>
      </c>
      <c r="S59" s="10">
        <f>wOTH*$V59 + wRTH*$W59</f>
        <v>0</v>
      </c>
      <c r="T59" s="10">
        <f>IF($L59&gt;0,$M59*$AF59,0)</f>
        <v>26</v>
      </c>
      <c r="U59" s="10">
        <f>IF($L59&gt;1,($L59-1)*$M59*$AF59,0)</f>
        <v>0</v>
      </c>
      <c r="V59" s="10">
        <f>IF($N59&gt;0,$O59*$AH59,0)</f>
        <v>0</v>
      </c>
      <c r="W59" s="10">
        <f>IF($N59&gt;1,($N59-1)*$O59*$AH59,0)</f>
        <v>0</v>
      </c>
      <c r="X59" s="12">
        <f>(wAPH1+wAPH2*IF($K59="Y",1,0)+wAPH3*$AJ59)*IF($AE59&gt;0,$M59/$AE59,0)</f>
        <v>50</v>
      </c>
      <c r="Y59" s="33">
        <f>wCMH*MIN($AI59,maxCMH)*IF($AE59&gt;0,$M59/$AE59,1)</f>
        <v>15</v>
      </c>
      <c r="Z59" s="12">
        <f>wCACH1*($T59+$V59) +((1-$AC59)*MIN(wCACH2*$AI59,maxCACH) + $AC59*MIN(wCACH3*$AI59,maxCACH))*IF($AE59&gt;0,$M59/$AE59,1)</f>
        <v>47.33</v>
      </c>
      <c r="AA59" s="12">
        <f>SUM($P59:$Z59)</f>
        <v>285.53499999999997</v>
      </c>
      <c r="AB59" s="10">
        <f>ROUND(AA59/172.5,1)</f>
        <v>1.7</v>
      </c>
      <c r="AC59" s="14">
        <f>IF(VLOOKUP($A59,Courses!$A$2:$P$268,7,FALSE)="Y",1,0)</f>
        <v>0</v>
      </c>
      <c r="AD59" s="14">
        <f>VLOOKUP($A59,Courses!$A$2:$P$268,8,FALSE)</f>
        <v>0</v>
      </c>
      <c r="AE59" s="14">
        <f>VLOOKUP($A59,Courses!$A$2:$P$268,9,FALSE)</f>
        <v>13</v>
      </c>
      <c r="AF59" s="14">
        <f>VLOOKUP($A59,Courses!$A$2:$P$268,10,FALSE)</f>
        <v>2</v>
      </c>
      <c r="AG59" s="14">
        <f>VLOOKUP($A59,Courses!$A$2:$P$268,11,FALSE)</f>
        <v>12</v>
      </c>
      <c r="AH59" s="15">
        <f>VLOOKUP($A59,Courses!$A$2:$P$268,12,FALSE)</f>
        <v>1</v>
      </c>
      <c r="AI59" s="15">
        <f>VLOOKUP($A59,Courses!$A$2:$P$268,13,FALSE)</f>
        <v>158</v>
      </c>
      <c r="AJ59" s="15">
        <f>VLOOKUP($A59,Courses!$A$2:$P$268,14,FALSE)</f>
        <v>0</v>
      </c>
      <c r="AK59" s="15">
        <f>VLOOKUP($A59,Courses!$A$2:$P$268,15,FALSE)</f>
        <v>0</v>
      </c>
      <c r="AL59" s="15">
        <f>VLOOKUP($A59,Courses!$A$2:$P$268,16,FALSE)</f>
        <v>4</v>
      </c>
    </row>
    <row r="60" spans="1:38">
      <c r="A60" s="13" t="str">
        <f>CONCATENATE(D60,H60)</f>
        <v>ECON3450S2</v>
      </c>
      <c r="B60" s="69" t="s">
        <v>586</v>
      </c>
      <c r="D60" s="80" t="s">
        <v>120</v>
      </c>
      <c r="E60" s="13" t="str">
        <f>IF(VLOOKUP($A60,Courses!$A$2:$F$268,3,FALSE)=0,"",VLOOKUP($A60,Courses!$A$2:$F$268,3,FALSE))</f>
        <v/>
      </c>
      <c r="F60" s="13" t="str">
        <f>IF(VLOOKUP($A60,Courses!$A$2:$F$268,4,FALSE)=0,"",VLOOKUP($A60,Courses!$A$2:$F$268,4,FALSE))</f>
        <v/>
      </c>
      <c r="G60" s="13" t="str">
        <f>VLOOKUP($A60,Courses!$A$2:$F$268,5,FALSE)</f>
        <v>Public Economics</v>
      </c>
      <c r="H60" s="70" t="s">
        <v>254</v>
      </c>
      <c r="I60" s="21" t="s">
        <v>252</v>
      </c>
      <c r="J60" s="128" t="s">
        <v>252</v>
      </c>
      <c r="K60" s="70" t="s">
        <v>252</v>
      </c>
      <c r="L60" s="120">
        <v>1</v>
      </c>
      <c r="M60" s="71">
        <v>13</v>
      </c>
      <c r="N60" s="21">
        <v>1</v>
      </c>
      <c r="O60" s="21">
        <v>12</v>
      </c>
      <c r="P60" s="12">
        <f>IF($I60="Y",(wCCH1+wCCH2*$AJ60)*($AE60*$AF60)+(1-$AC60)*MIN(wCCH3*$AI60,maxCCH) + $AC60*MIN(wCCH4*$AI60,maxCCH),0)</f>
        <v>30.185000000000002</v>
      </c>
      <c r="Q60" s="12">
        <f>IF($J60="Y",(wTCH1+wTCH2*IF($K60="Y",1,0))*$AG60*$AH60+(1-$AC60)*MIN(wTCH3*$AI60,maxTCH) + $AC60*MIN(wTCH4*$AI60,maxTCH),0)</f>
        <v>25.9375</v>
      </c>
      <c r="R60" s="10">
        <f>(wOLH1+wOLH2*IF($K60="Y",1,0)+wOLH3*$AD60)*$T60 + wRLH*$U60</f>
        <v>130</v>
      </c>
      <c r="S60" s="10">
        <f>wOTH*$V60 + wRTH*$W60</f>
        <v>12</v>
      </c>
      <c r="T60" s="10">
        <f>IF($L60&gt;0,$M60*$AF60,0)</f>
        <v>26</v>
      </c>
      <c r="U60" s="10">
        <f>IF($L60&gt;1,($L60-1)*$M60*$AF60,0)</f>
        <v>0</v>
      </c>
      <c r="V60" s="10">
        <f>IF($N60&gt;0,$O60*$AH60,0)</f>
        <v>12</v>
      </c>
      <c r="W60" s="10">
        <f>IF($N60&gt;1,($N60-1)*$O60*$AH60,0)</f>
        <v>0</v>
      </c>
      <c r="X60" s="12">
        <f>(wAPH1+wAPH2*IF($K60="Y",1,0)+wAPH3*$AJ60)*IF($AE60&gt;0,$M60/$AE60,0)</f>
        <v>70</v>
      </c>
      <c r="Y60" s="33">
        <f>wCMH*MIN($AI60,maxCMH)*IF($AE60&gt;0,$M60/$AE60,1)</f>
        <v>15</v>
      </c>
      <c r="Z60" s="12">
        <f>wCACH1*($T60+$V60) +((1-$AC60)*MIN(wCACH2*$AI60,maxCACH) + $AC60*MIN(wCACH3*$AI60,maxCACH))*IF($AE60&gt;0,$M60/$AE60,1)</f>
        <v>42.185000000000002</v>
      </c>
      <c r="AA60" s="12">
        <f>SUM($P60:$Z60)</f>
        <v>363.3075</v>
      </c>
      <c r="AB60" s="10">
        <f>ROUND(AA60/172.5,1)</f>
        <v>2.1</v>
      </c>
      <c r="AC60" s="14">
        <f>IF(VLOOKUP($A60,Courses!$A$2:$P$268,7,FALSE)="Y",1,0)</f>
        <v>0</v>
      </c>
      <c r="AD60" s="14">
        <f>VLOOKUP($A60,Courses!$A$2:$P$268,8,FALSE)</f>
        <v>0</v>
      </c>
      <c r="AE60" s="14">
        <f>VLOOKUP($A60,Courses!$A$2:$P$268,9,FALSE)</f>
        <v>13</v>
      </c>
      <c r="AF60" s="14">
        <f>VLOOKUP($A60,Courses!$A$2:$P$268,10,FALSE)</f>
        <v>2</v>
      </c>
      <c r="AG60" s="14">
        <f>VLOOKUP($A60,Courses!$A$2:$P$268,11,FALSE)</f>
        <v>12</v>
      </c>
      <c r="AH60" s="15">
        <f>VLOOKUP($A60,Courses!$A$2:$P$268,12,FALSE)</f>
        <v>1</v>
      </c>
      <c r="AI60" s="15">
        <f>VLOOKUP($A60,Courses!$A$2:$P$268,13,FALSE)</f>
        <v>31</v>
      </c>
      <c r="AJ60" s="15">
        <f>VLOOKUP($A60,Courses!$A$2:$P$268,14,FALSE)</f>
        <v>0</v>
      </c>
      <c r="AK60" s="15">
        <f>VLOOKUP($A60,Courses!$A$2:$P$268,15,FALSE)</f>
        <v>0</v>
      </c>
      <c r="AL60" s="15">
        <f>VLOOKUP($A60,Courses!$A$2:$P$268,16,FALSE)</f>
        <v>1</v>
      </c>
    </row>
    <row r="61" spans="1:38">
      <c r="A61" s="13" t="str">
        <f>CONCATENATE(D61,H61)</f>
        <v>ECON3460S2</v>
      </c>
      <c r="B61" s="57" t="s">
        <v>807</v>
      </c>
      <c r="D61" s="80" t="s">
        <v>570</v>
      </c>
      <c r="E61" s="13" t="str">
        <f>IF(VLOOKUP($A61,Courses!$A$2:$F$268,3,FALSE)=0,"",VLOOKUP($A61,Courses!$A$2:$F$268,3,FALSE))</f>
        <v/>
      </c>
      <c r="F61" s="13" t="str">
        <f>IF(VLOOKUP($A61,Courses!$A$2:$F$268,4,FALSE)=0,"",VLOOKUP($A61,Courses!$A$2:$F$268,4,FALSE))</f>
        <v/>
      </c>
      <c r="G61" s="13" t="str">
        <f>VLOOKUP($A61,Courses!$A$2:$F$268,5,FALSE)</f>
        <v>Ethics in Economics</v>
      </c>
      <c r="H61" s="70" t="s">
        <v>254</v>
      </c>
      <c r="I61" s="21" t="s">
        <v>252</v>
      </c>
      <c r="J61" s="128" t="s">
        <v>252</v>
      </c>
      <c r="K61" s="70" t="s">
        <v>252</v>
      </c>
      <c r="L61" s="120">
        <v>1</v>
      </c>
      <c r="M61" s="71">
        <v>13</v>
      </c>
      <c r="N61" s="21"/>
      <c r="O61" s="21"/>
      <c r="P61" s="12">
        <f>IF($I61="Y",(wCCH1+wCCH2*$AJ61)*($AE61*$AF61)+(1-$AC61)*MIN(wCCH3*$AI61,maxCCH) + $AC61*MIN(wCCH4*$AI61,maxCCH),0)</f>
        <v>29.375</v>
      </c>
      <c r="Q61" s="12">
        <f>IF($J61="Y",(wTCH1+wTCH2*IF($K61="Y",1,0))*$AG61*$AH61+(1-$AC61)*MIN(wTCH3*$AI61,maxTCH) + $AC61*MIN(wTCH4*$AI61,maxTCH),0)</f>
        <v>25.5625</v>
      </c>
      <c r="R61" s="10">
        <f>(wOLH1+wOLH2*IF($K61="Y",1,0)+wOLH3*$AD61)*$T61 + wRLH*$U61</f>
        <v>130</v>
      </c>
      <c r="S61" s="10">
        <f>wOTH*$V61 + wRTH*$W61</f>
        <v>0</v>
      </c>
      <c r="T61" s="10">
        <f>IF($L61&gt;0,$M61*$AF61,0)</f>
        <v>26</v>
      </c>
      <c r="U61" s="10">
        <f>IF($L61&gt;1,($L61-1)*$M61*$AF61,0)</f>
        <v>0</v>
      </c>
      <c r="V61" s="10">
        <f>IF($N61&gt;0,$O61*$AH61,0)</f>
        <v>0</v>
      </c>
      <c r="W61" s="10">
        <f>IF($N61&gt;1,($N61-1)*$O61*$AH61,0)</f>
        <v>0</v>
      </c>
      <c r="X61" s="12">
        <f>(wAPH1+wAPH2*IF($K61="Y",1,0)+wAPH3*$AJ61)*IF($AE61&gt;0,$M61/$AE61,0)</f>
        <v>70</v>
      </c>
      <c r="Y61" s="33">
        <f>wCMH*MIN($AI61,maxCMH)*IF($AE61&gt;0,$M61/$AE61,1)</f>
        <v>15</v>
      </c>
      <c r="Z61" s="12">
        <f>wCACH1*($T61+$V61) +((1-$AC61)*MIN(wCACH2*$AI61,maxCACH) + $AC61*MIN(wCACH3*$AI61,maxCACH))*IF($AE61&gt;0,$M61/$AE61,1)</f>
        <v>29.375</v>
      </c>
      <c r="AA61" s="12">
        <f>SUM($P61:$Z61)</f>
        <v>325.3125</v>
      </c>
      <c r="AB61" s="10">
        <f>ROUND(AA61/172.5,1)</f>
        <v>1.9</v>
      </c>
      <c r="AC61" s="14">
        <f>IF(VLOOKUP($A61,Courses!$A$2:$P$268,7,FALSE)="Y",1,0)</f>
        <v>0</v>
      </c>
      <c r="AD61" s="14">
        <f>VLOOKUP($A61,Courses!$A$2:$P$268,8,FALSE)</f>
        <v>0</v>
      </c>
      <c r="AE61" s="14">
        <f>VLOOKUP($A61,Courses!$A$2:$P$268,9,FALSE)</f>
        <v>13</v>
      </c>
      <c r="AF61" s="14">
        <f>VLOOKUP($A61,Courses!$A$2:$P$268,10,FALSE)</f>
        <v>2</v>
      </c>
      <c r="AG61" s="14">
        <f>VLOOKUP($A61,Courses!$A$2:$P$268,11,FALSE)</f>
        <v>12</v>
      </c>
      <c r="AH61" s="15">
        <f>VLOOKUP($A61,Courses!$A$2:$P$268,12,FALSE)</f>
        <v>1</v>
      </c>
      <c r="AI61" s="15">
        <f>VLOOKUP($A61,Courses!$A$2:$P$268,13,FALSE)</f>
        <v>25</v>
      </c>
      <c r="AJ61" s="15">
        <f>VLOOKUP($A61,Courses!$A$2:$P$268,14,FALSE)</f>
        <v>0</v>
      </c>
      <c r="AK61" s="15">
        <f>VLOOKUP($A61,Courses!$A$2:$P$268,15,FALSE)</f>
        <v>0</v>
      </c>
      <c r="AL61" s="15">
        <f>VLOOKUP($A61,Courses!$A$2:$P$268,16,FALSE)</f>
        <v>1</v>
      </c>
    </row>
    <row r="62" spans="1:38">
      <c r="A62" s="13" t="str">
        <f>CONCATENATE(D62,H62)</f>
        <v>ECON3510S1</v>
      </c>
      <c r="B62" s="69" t="s">
        <v>171</v>
      </c>
      <c r="C62" s="70">
        <v>2020</v>
      </c>
      <c r="D62" s="80" t="s">
        <v>46</v>
      </c>
      <c r="E62" s="13" t="str">
        <f>IF(VLOOKUP($A62,Courses!$A$2:$F$268,3,FALSE)=0,"",VLOOKUP($A62,Courses!$A$2:$F$268,3,FALSE))</f>
        <v/>
      </c>
      <c r="F62" s="13" t="str">
        <f>IF(VLOOKUP($A62,Courses!$A$2:$F$268,4,FALSE)=0,"",VLOOKUP($A62,Courses!$A$2:$F$268,4,FALSE))</f>
        <v/>
      </c>
      <c r="G62" s="13" t="str">
        <f>VLOOKUP($A62,Courses!$A$2:$F$268,5,FALSE)</f>
        <v>International Trade Theory &amp; Policy</v>
      </c>
      <c r="H62" s="70" t="s">
        <v>253</v>
      </c>
      <c r="I62" s="21" t="s">
        <v>252</v>
      </c>
      <c r="J62" s="70" t="s">
        <v>252</v>
      </c>
      <c r="L62" s="120">
        <v>1</v>
      </c>
      <c r="M62" s="71">
        <v>13</v>
      </c>
      <c r="N62" s="21"/>
      <c r="O62" s="21"/>
      <c r="P62" s="12">
        <f>IF($I62="Y",(wCCH1+wCCH2*$AJ62)*($AE62*$AF62)+(1-$AC62)*MIN(wCCH3*$AI62,maxCCH) + $AC62*MIN(wCCH4*$AI62,maxCCH),0)</f>
        <v>42.875</v>
      </c>
      <c r="Q62" s="12">
        <f>IF($J62="Y",(wTCH1+wTCH2*IF($K62="Y",1,0))*$AG62*$AH62+(1-$AC62)*MIN(wTCH3*$AI62,maxTCH) + $AC62*MIN(wTCH4*$AI62,maxTCH),0)</f>
        <v>19.8125</v>
      </c>
      <c r="R62" s="10">
        <f>(wOLH1+wOLH2*IF($K62="Y",1,0)+wOLH3*$AD62)*$T62 + wRLH*$U62</f>
        <v>78</v>
      </c>
      <c r="S62" s="10">
        <f>wOTH*$V62 + wRTH*$W62</f>
        <v>0</v>
      </c>
      <c r="T62" s="10">
        <f>IF($L62&gt;0,$M62*$AF62,0)</f>
        <v>26</v>
      </c>
      <c r="U62" s="10">
        <f>IF($L62&gt;1,($L62-1)*$M62*$AF62,0)</f>
        <v>0</v>
      </c>
      <c r="V62" s="10">
        <f>IF($N62&gt;0,$O62*$AH62,0)</f>
        <v>0</v>
      </c>
      <c r="W62" s="10">
        <f>IF($N62&gt;1,($N62-1)*$O62*$AH62,0)</f>
        <v>0</v>
      </c>
      <c r="X62" s="12">
        <f>(wAPH1+wAPH2*IF($K62="Y",1,0)+wAPH3*$AJ62)*IF($AE62&gt;0,$M62/$AE62,0)</f>
        <v>50</v>
      </c>
      <c r="Y62" s="33">
        <f>wCMH*MIN($AI62,maxCMH)*IF($AE62&gt;0,$M62/$AE62,1)</f>
        <v>15</v>
      </c>
      <c r="Z62" s="12">
        <f>wCACH1*($T62+$V62) +((1-$AC62)*MIN(wCACH2*$AI62,maxCACH) + $AC62*MIN(wCACH3*$AI62,maxCACH))*IF($AE62&gt;0,$M62/$AE62,1)</f>
        <v>42.875</v>
      </c>
      <c r="AA62" s="12">
        <f>SUM($P62:$Z62)</f>
        <v>274.5625</v>
      </c>
      <c r="AB62" s="10">
        <f>ROUND(AA62/172.5,1)</f>
        <v>1.6</v>
      </c>
      <c r="AC62" s="14">
        <f>IF(VLOOKUP($A62,Courses!$A$2:$P$268,7,FALSE)="Y",1,0)</f>
        <v>0</v>
      </c>
      <c r="AD62" s="14">
        <f>VLOOKUP($A62,Courses!$A$2:$P$268,8,FALSE)</f>
        <v>0</v>
      </c>
      <c r="AE62" s="14">
        <f>VLOOKUP($A62,Courses!$A$2:$P$268,9,FALSE)</f>
        <v>13</v>
      </c>
      <c r="AF62" s="14">
        <f>VLOOKUP($A62,Courses!$A$2:$P$268,10,FALSE)</f>
        <v>2</v>
      </c>
      <c r="AG62" s="14">
        <f>VLOOKUP($A62,Courses!$A$2:$P$268,11,FALSE)</f>
        <v>12</v>
      </c>
      <c r="AH62" s="15">
        <f>VLOOKUP($A62,Courses!$A$2:$P$268,12,FALSE)</f>
        <v>1</v>
      </c>
      <c r="AI62" s="15">
        <f>VLOOKUP($A62,Courses!$A$2:$P$268,13,FALSE)</f>
        <v>125</v>
      </c>
      <c r="AJ62" s="15">
        <f>VLOOKUP($A62,Courses!$A$2:$P$268,14,FALSE)</f>
        <v>0</v>
      </c>
      <c r="AK62" s="15">
        <f>VLOOKUP($A62,Courses!$A$2:$P$268,15,FALSE)</f>
        <v>0</v>
      </c>
      <c r="AL62" s="15">
        <f>VLOOKUP($A62,Courses!$A$2:$P$268,16,FALSE)</f>
        <v>4</v>
      </c>
    </row>
    <row r="63" spans="1:38">
      <c r="A63" s="13" t="str">
        <f>CONCATENATE(D63,H63)</f>
        <v>ECON3520S2</v>
      </c>
      <c r="B63" s="69" t="s">
        <v>138</v>
      </c>
      <c r="C63" s="70">
        <v>2020</v>
      </c>
      <c r="D63" s="80" t="s">
        <v>90</v>
      </c>
      <c r="E63" s="13" t="str">
        <f>IF(VLOOKUP($A63,Courses!$A$2:$F$268,3,FALSE)=0,"",VLOOKUP($A63,Courses!$A$2:$F$268,3,FALSE))</f>
        <v/>
      </c>
      <c r="F63" s="13" t="str">
        <f>IF(VLOOKUP($A63,Courses!$A$2:$F$268,4,FALSE)=0,"",VLOOKUP($A63,Courses!$A$2:$F$268,4,FALSE))</f>
        <v/>
      </c>
      <c r="G63" s="13" t="str">
        <f>VLOOKUP($A63,Courses!$A$2:$F$268,5,FALSE)</f>
        <v>Economics of International Finance</v>
      </c>
      <c r="H63" s="70" t="s">
        <v>254</v>
      </c>
      <c r="I63" s="21" t="s">
        <v>252</v>
      </c>
      <c r="J63" s="70" t="s">
        <v>252</v>
      </c>
      <c r="L63" s="120">
        <v>1</v>
      </c>
      <c r="M63" s="71">
        <v>13</v>
      </c>
      <c r="N63" s="21"/>
      <c r="O63" s="21"/>
      <c r="P63" s="12">
        <f>IF($I63="Y",(wCCH1+wCCH2*$AJ63)*($AE63*$AF63)+(1-$AC63)*MIN(wCCH3*$AI63,maxCCH) + $AC63*MIN(wCCH4*$AI63,maxCCH),0)</f>
        <v>44.36</v>
      </c>
      <c r="Q63" s="12">
        <f>IF($J63="Y",(wTCH1+wTCH2*IF($K63="Y",1,0))*$AG63*$AH63+(1-$AC63)*MIN(wTCH3*$AI63,maxTCH) + $AC63*MIN(wTCH4*$AI63,maxTCH),0)</f>
        <v>20.5</v>
      </c>
      <c r="R63" s="10">
        <f>(wOLH1+wOLH2*IF($K63="Y",1,0)+wOLH3*$AD63)*$T63 + wRLH*$U63</f>
        <v>78</v>
      </c>
      <c r="S63" s="10">
        <f>wOTH*$V63 + wRTH*$W63</f>
        <v>0</v>
      </c>
      <c r="T63" s="10">
        <f>IF($L63&gt;0,$M63*$AF63,0)</f>
        <v>26</v>
      </c>
      <c r="U63" s="10">
        <f>IF($L63&gt;1,($L63-1)*$M63*$AF63,0)</f>
        <v>0</v>
      </c>
      <c r="V63" s="10">
        <f>IF($N63&gt;0,$O63*$AH63,0)</f>
        <v>0</v>
      </c>
      <c r="W63" s="10">
        <f>IF($N63&gt;1,($N63-1)*$O63*$AH63,0)</f>
        <v>0</v>
      </c>
      <c r="X63" s="12">
        <f>(wAPH1+wAPH2*IF($K63="Y",1,0)+wAPH3*$AJ63)*IF($AE63&gt;0,$M63/$AE63,0)</f>
        <v>50</v>
      </c>
      <c r="Y63" s="33">
        <f>wCMH*MIN($AI63,maxCMH)*IF($AE63&gt;0,$M63/$AE63,1)</f>
        <v>15</v>
      </c>
      <c r="Z63" s="12">
        <f>wCACH1*($T63+$V63) +((1-$AC63)*MIN(wCACH2*$AI63,maxCACH) + $AC63*MIN(wCACH3*$AI63,maxCACH))*IF($AE63&gt;0,$M63/$AE63,1)</f>
        <v>44.36</v>
      </c>
      <c r="AA63" s="12">
        <f>SUM($P63:$Z63)</f>
        <v>278.22000000000003</v>
      </c>
      <c r="AB63" s="10">
        <f>ROUND(AA63/172.5,1)</f>
        <v>1.6</v>
      </c>
      <c r="AC63" s="14">
        <f>IF(VLOOKUP($A63,Courses!$A$2:$P$268,7,FALSE)="Y",1,0)</f>
        <v>0</v>
      </c>
      <c r="AD63" s="14">
        <f>VLOOKUP($A63,Courses!$A$2:$P$268,8,FALSE)</f>
        <v>0</v>
      </c>
      <c r="AE63" s="14">
        <f>VLOOKUP($A63,Courses!$A$2:$P$268,9,FALSE)</f>
        <v>13</v>
      </c>
      <c r="AF63" s="14">
        <f>VLOOKUP($A63,Courses!$A$2:$P$268,10,FALSE)</f>
        <v>2</v>
      </c>
      <c r="AG63" s="14">
        <f>VLOOKUP($A63,Courses!$A$2:$P$268,11,FALSE)</f>
        <v>12</v>
      </c>
      <c r="AH63" s="15">
        <f>VLOOKUP($A63,Courses!$A$2:$P$268,12,FALSE)</f>
        <v>1</v>
      </c>
      <c r="AI63" s="15">
        <f>VLOOKUP($A63,Courses!$A$2:$P$268,13,FALSE)</f>
        <v>136</v>
      </c>
      <c r="AJ63" s="15">
        <f>VLOOKUP($A63,Courses!$A$2:$P$268,14,FALSE)</f>
        <v>0</v>
      </c>
      <c r="AK63" s="15">
        <f>VLOOKUP($A63,Courses!$A$2:$P$268,15,FALSE)</f>
        <v>0</v>
      </c>
      <c r="AL63" s="15">
        <f>VLOOKUP($A63,Courses!$A$2:$P$268,16,FALSE)</f>
        <v>4</v>
      </c>
    </row>
    <row r="64" spans="1:38">
      <c r="A64" s="13" t="str">
        <f>CONCATENATE(D64,H64)</f>
        <v>ECON3700S1</v>
      </c>
      <c r="B64" s="69" t="s">
        <v>586</v>
      </c>
      <c r="D64" s="80" t="s">
        <v>103</v>
      </c>
      <c r="E64" s="13" t="str">
        <f>IF(VLOOKUP($A64,Courses!$A$2:$F$268,3,FALSE)=0,"",VLOOKUP($A64,Courses!$A$2:$F$268,3,FALSE))</f>
        <v/>
      </c>
      <c r="F64" s="13" t="str">
        <f>IF(VLOOKUP($A64,Courses!$A$2:$F$268,4,FALSE)=0,"",VLOOKUP($A64,Courses!$A$2:$F$268,4,FALSE))</f>
        <v/>
      </c>
      <c r="G64" s="13" t="str">
        <f>VLOOKUP($A64,Courses!$A$2:$F$268,5,FALSE)</f>
        <v>Environmental Economics</v>
      </c>
      <c r="H64" s="70" t="s">
        <v>253</v>
      </c>
      <c r="I64" s="21" t="s">
        <v>252</v>
      </c>
      <c r="J64" s="70" t="s">
        <v>252</v>
      </c>
      <c r="K64" s="70" t="s">
        <v>252</v>
      </c>
      <c r="L64" s="120">
        <v>1</v>
      </c>
      <c r="M64" s="71">
        <v>13</v>
      </c>
      <c r="N64" s="21"/>
      <c r="O64" s="21"/>
      <c r="P64" s="12">
        <f>IF($I64="Y",(wCCH1+wCCH2*$AJ64)*($AE64*$AF64)+(1-$AC64)*MIN(wCCH3*$AI64,maxCCH) + $AC64*MIN(wCCH4*$AI64,maxCCH),0)</f>
        <v>35.72</v>
      </c>
      <c r="Q64" s="12">
        <f>IF($J64="Y",(wTCH1+wTCH2*IF($K64="Y",1,0))*$AG64*$AH64+(1-$AC64)*MIN(wTCH3*$AI64,maxTCH) + $AC64*MIN(wTCH4*$AI64,maxTCH),0)</f>
        <v>28.5</v>
      </c>
      <c r="R64" s="10">
        <f>(wOLH1+wOLH2*IF($K64="Y",1,0)+wOLH3*$AD64)*$T64 + wRLH*$U64</f>
        <v>130</v>
      </c>
      <c r="S64" s="10">
        <f>wOTH*$V64 + wRTH*$W64</f>
        <v>0</v>
      </c>
      <c r="T64" s="10">
        <f>IF($L64&gt;0,$M64*$AF64,0)</f>
        <v>26</v>
      </c>
      <c r="U64" s="10">
        <f>IF($L64&gt;1,($L64-1)*$M64*$AF64,0)</f>
        <v>0</v>
      </c>
      <c r="V64" s="10">
        <f>IF($N64&gt;0,$O64*$AH64,0)</f>
        <v>0</v>
      </c>
      <c r="W64" s="10">
        <f>IF($N64&gt;1,($N64-1)*$O64*$AH64,0)</f>
        <v>0</v>
      </c>
      <c r="X64" s="12">
        <f>(wAPH1+wAPH2*IF($K64="Y",1,0)+wAPH3*$AJ64)*IF($AE64&gt;0,$M64/$AE64,0)</f>
        <v>70</v>
      </c>
      <c r="Y64" s="33">
        <f>wCMH*MIN($AI64,maxCMH)*IF($AE64&gt;0,$M64/$AE64,1)</f>
        <v>15</v>
      </c>
      <c r="Z64" s="12">
        <f>wCACH1*($T64+$V64) +((1-$AC64)*MIN(wCACH2*$AI64,maxCACH) + $AC64*MIN(wCACH3*$AI64,maxCACH))*IF($AE64&gt;0,$M64/$AE64,1)</f>
        <v>35.72</v>
      </c>
      <c r="AA64" s="12">
        <f>SUM($P64:$Z64)</f>
        <v>340.94000000000005</v>
      </c>
      <c r="AB64" s="10">
        <f>ROUND(AA64/172.5,1)</f>
        <v>2</v>
      </c>
      <c r="AC64" s="14">
        <f>IF(VLOOKUP($A64,Courses!$A$2:$P$268,7,FALSE)="Y",1,0)</f>
        <v>0</v>
      </c>
      <c r="AD64" s="14">
        <f>VLOOKUP($A64,Courses!$A$2:$P$268,8,FALSE)</f>
        <v>0</v>
      </c>
      <c r="AE64" s="14">
        <f>VLOOKUP($A64,Courses!$A$2:$P$268,9,FALSE)</f>
        <v>13</v>
      </c>
      <c r="AF64" s="14">
        <f>VLOOKUP($A64,Courses!$A$2:$P$268,10,FALSE)</f>
        <v>2</v>
      </c>
      <c r="AG64" s="14">
        <f>VLOOKUP($A64,Courses!$A$2:$P$268,11,FALSE)</f>
        <v>12</v>
      </c>
      <c r="AH64" s="15">
        <f>VLOOKUP($A64,Courses!$A$2:$P$268,12,FALSE)</f>
        <v>1</v>
      </c>
      <c r="AI64" s="15">
        <f>VLOOKUP($A64,Courses!$A$2:$P$268,13,FALSE)</f>
        <v>72</v>
      </c>
      <c r="AJ64" s="15">
        <f>VLOOKUP($A64,Courses!$A$2:$P$268,14,FALSE)</f>
        <v>0</v>
      </c>
      <c r="AK64" s="15">
        <f>VLOOKUP($A64,Courses!$A$2:$P$268,15,FALSE)</f>
        <v>0</v>
      </c>
      <c r="AL64" s="15">
        <f>VLOOKUP($A64,Courses!$A$2:$P$268,16,FALSE)</f>
        <v>2</v>
      </c>
    </row>
    <row r="65" spans="1:38">
      <c r="A65" s="13" t="str">
        <f>CONCATENATE(D65,H65)</f>
        <v>ECON3820S2</v>
      </c>
      <c r="B65" s="57" t="s">
        <v>143</v>
      </c>
      <c r="C65" s="70">
        <v>2019</v>
      </c>
      <c r="D65" s="80" t="s">
        <v>239</v>
      </c>
      <c r="E65" s="13" t="str">
        <f>IF(VLOOKUP($A65,Courses!$A$2:$F$268,3,FALSE)=0,"",VLOOKUP($A65,Courses!$A$2:$F$268,3,FALSE))</f>
        <v/>
      </c>
      <c r="F65" s="13" t="str">
        <f>IF(VLOOKUP($A65,Courses!$A$2:$F$268,4,FALSE)=0,"",VLOOKUP($A65,Courses!$A$2:$F$268,4,FALSE))</f>
        <v/>
      </c>
      <c r="G65" s="13" t="str">
        <f>VLOOKUP($A65,Courses!$A$2:$F$268,5,FALSE)</f>
        <v>Understanding China</v>
      </c>
      <c r="H65" s="70" t="s">
        <v>254</v>
      </c>
      <c r="I65" s="21" t="s">
        <v>252</v>
      </c>
      <c r="L65" s="120">
        <v>1</v>
      </c>
      <c r="M65" s="71">
        <v>10</v>
      </c>
      <c r="N65" s="21"/>
      <c r="O65" s="21"/>
      <c r="P65" s="12">
        <f>IF($I65="Y",(wCCH1+wCCH2*$AJ65)*($AE65*$AF65)+(1-$AC65)*MIN(wCCH3*$AI65,maxCCH) + $AC65*MIN(wCCH4*$AI65,maxCCH),0)</f>
        <v>33.230000000000004</v>
      </c>
      <c r="Q65" s="12">
        <f>IF($J65="Y",(wTCH1+wTCH2*IF($K65="Y",1,0))*$AG65*$AH65+(1-$AC65)*MIN(wTCH3*$AI65,maxTCH) + $AC65*MIN(wTCH4*$AI65,maxTCH),0)</f>
        <v>0</v>
      </c>
      <c r="R65" s="10">
        <f>(wOLH1+wOLH2*IF($K65="Y",1,0)+wOLH3*$AD65)*$T65 + wRLH*$U65</f>
        <v>60</v>
      </c>
      <c r="S65" s="10">
        <f>wOTH*$V65 + wRTH*$W65</f>
        <v>0</v>
      </c>
      <c r="T65" s="10">
        <f>IF($L65&gt;0,$M65*$AF65,0)</f>
        <v>20</v>
      </c>
      <c r="U65" s="10">
        <f>IF($L65&gt;1,($L65-1)*$M65*$AF65,0)</f>
        <v>0</v>
      </c>
      <c r="V65" s="10">
        <f>IF($N65&gt;0,$O65*$AH65,0)</f>
        <v>0</v>
      </c>
      <c r="W65" s="10">
        <f>IF($N65&gt;1,($N65-1)*$O65*$AH65,0)</f>
        <v>0</v>
      </c>
      <c r="X65" s="12">
        <f>(wAPH1+wAPH2*IF($K65="Y",1,0)+wAPH3*$AJ65)*IF($AE65&gt;0,$M65/$AE65,0)</f>
        <v>50</v>
      </c>
      <c r="Y65" s="33">
        <f>wCMH*MIN($AI65,maxCMH)*IF($AE65&gt;0,$M65/$AE65,1)</f>
        <v>15</v>
      </c>
      <c r="Z65" s="12">
        <f>wCACH1*($T65+$V65) +((1-$AC65)*MIN(wCACH2*$AI65,maxCACH) + $AC65*MIN(wCACH3*$AI65,maxCACH))*IF($AE65&gt;0,$M65/$AE65,1)</f>
        <v>33.230000000000004</v>
      </c>
      <c r="AA65" s="12">
        <f>SUM($P65:$Z65)</f>
        <v>211.46000000000004</v>
      </c>
      <c r="AB65" s="10">
        <f>ROUND(AA65/172.5,1)</f>
        <v>1.2</v>
      </c>
      <c r="AC65" s="14">
        <f>IF(VLOOKUP($A65,Courses!$A$2:$P$268,7,FALSE)="Y",1,0)</f>
        <v>0</v>
      </c>
      <c r="AD65" s="14">
        <f>VLOOKUP($A65,Courses!$A$2:$P$268,8,FALSE)</f>
        <v>0</v>
      </c>
      <c r="AE65" s="14">
        <f>VLOOKUP($A65,Courses!$A$2:$P$268,9,FALSE)</f>
        <v>10</v>
      </c>
      <c r="AF65" s="14">
        <f>VLOOKUP($A65,Courses!$A$2:$P$268,10,FALSE)</f>
        <v>2</v>
      </c>
      <c r="AG65" s="14">
        <f>VLOOKUP($A65,Courses!$A$2:$P$268,11,FALSE)</f>
        <v>12</v>
      </c>
      <c r="AH65" s="15">
        <f>VLOOKUP($A65,Courses!$A$2:$P$268,12,FALSE)</f>
        <v>1</v>
      </c>
      <c r="AI65" s="15">
        <f>VLOOKUP($A65,Courses!$A$2:$P$268,13,FALSE)</f>
        <v>98</v>
      </c>
      <c r="AJ65" s="15">
        <f>VLOOKUP($A65,Courses!$A$2:$P$268,14,FALSE)</f>
        <v>0</v>
      </c>
      <c r="AK65" s="15">
        <f>VLOOKUP($A65,Courses!$A$2:$P$268,15,FALSE)</f>
        <v>0</v>
      </c>
      <c r="AL65" s="15">
        <f>VLOOKUP($A65,Courses!$A$2:$P$268,16,FALSE)</f>
        <v>3</v>
      </c>
    </row>
    <row r="66" spans="1:38">
      <c r="A66" s="13" t="str">
        <f>CONCATENATE(D66,H66)</f>
        <v>ECON4390S2</v>
      </c>
      <c r="B66" s="69" t="s">
        <v>141</v>
      </c>
      <c r="C66" s="71">
        <v>2019</v>
      </c>
      <c r="D66" s="80" t="s">
        <v>242</v>
      </c>
      <c r="E66" s="13" t="str">
        <f>IF(VLOOKUP($A66,Courses!$A$2:$F$268,3,FALSE)=0,"",VLOOKUP($A66,Courses!$A$2:$F$268,3,FALSE))</f>
        <v/>
      </c>
      <c r="F66" s="13" t="str">
        <f>IF(VLOOKUP($A66,Courses!$A$2:$F$268,4,FALSE)=0,"",VLOOKUP($A66,Courses!$A$2:$F$268,4,FALSE))</f>
        <v/>
      </c>
      <c r="G66" s="13" t="str">
        <f>VLOOKUP($A66,Courses!$A$2:$F$268,5,FALSE)</f>
        <v>Financial Econometrics</v>
      </c>
      <c r="H66" s="70" t="s">
        <v>254</v>
      </c>
      <c r="I66" s="21" t="s">
        <v>252</v>
      </c>
      <c r="J66" s="128"/>
      <c r="L66" s="120">
        <v>1</v>
      </c>
      <c r="M66" s="71">
        <v>13</v>
      </c>
      <c r="N66" s="21"/>
      <c r="O66" s="21"/>
      <c r="P66" s="12">
        <f>IF($I66="Y",(wCCH1+wCCH2*$AJ66)*($AE66*$AF66)+(1-$AC66)*MIN(wCCH3*$AI66,maxCCH) + $AC66*MIN(wCCH4*$AI66,maxCCH),0)</f>
        <v>26.405000000000001</v>
      </c>
      <c r="Q66" s="12">
        <f>IF($J66="Y",(wTCH1+wTCH2*IF($K66="Y",1,0))*$AG66*$AH66+(1-$AC66)*MIN(wTCH3*$AI66,maxTCH) + $AC66*MIN(wTCH4*$AI66,maxTCH),0)</f>
        <v>0</v>
      </c>
      <c r="R66" s="10">
        <f>(wOLH1+wOLH2*IF($K66="Y",1,0)+wOLH3*$AD66)*$T66 + wRLH*$U66</f>
        <v>78</v>
      </c>
      <c r="S66" s="10">
        <f>wOTH*$V66 + wRTH*$W66</f>
        <v>0</v>
      </c>
      <c r="T66" s="10">
        <f>IF($L66&gt;0,$M66*$AF66,0)</f>
        <v>26</v>
      </c>
      <c r="U66" s="10">
        <f>IF($L66&gt;1,($L66-1)*$M66*$AF66,0)</f>
        <v>0</v>
      </c>
      <c r="V66" s="10">
        <f>IF($N66&gt;0,$O66*$AH66,0)</f>
        <v>0</v>
      </c>
      <c r="W66" s="10">
        <f>IF($N66&gt;1,($N66-1)*$O66*$AH66,0)</f>
        <v>0</v>
      </c>
      <c r="X66" s="12">
        <f>(wAPH1+wAPH2*IF($K66="Y",1,0)+wAPH3*$AJ66)*IF($AE66&gt;0,$M66/$AE66,0)</f>
        <v>50</v>
      </c>
      <c r="Y66" s="33">
        <f>wCMH*MIN($AI66,maxCMH)*IF($AE66&gt;0,$M66/$AE66,1)</f>
        <v>3</v>
      </c>
      <c r="Z66" s="12">
        <f>wCACH1*($T66+$V66) +((1-$AC66)*MIN(wCACH2*$AI66,maxCACH) + $AC66*MIN(wCACH3*$AI66,maxCACH))*IF($AE66&gt;0,$M66/$AE66,1)</f>
        <v>26.405000000000001</v>
      </c>
      <c r="AA66" s="12">
        <f>SUM($P66:$Z66)</f>
        <v>209.81</v>
      </c>
      <c r="AB66" s="10">
        <f>ROUND(AA66/172.5,1)</f>
        <v>1.2</v>
      </c>
      <c r="AC66" s="14">
        <f>IF(VLOOKUP($A66,Courses!$A$2:$P$268,7,FALSE)="Y",1,0)</f>
        <v>0</v>
      </c>
      <c r="AD66" s="14">
        <f>VLOOKUP($A66,Courses!$A$2:$P$268,8,FALSE)</f>
        <v>0</v>
      </c>
      <c r="AE66" s="14">
        <f>VLOOKUP($A66,Courses!$A$2:$P$268,9,FALSE)</f>
        <v>13</v>
      </c>
      <c r="AF66" s="14">
        <f>VLOOKUP($A66,Courses!$A$2:$P$268,10,FALSE)</f>
        <v>2</v>
      </c>
      <c r="AG66" s="14">
        <f>VLOOKUP($A66,Courses!$A$2:$P$268,11,FALSE)</f>
        <v>0</v>
      </c>
      <c r="AH66" s="15">
        <f>VLOOKUP($A66,Courses!$A$2:$P$268,12,FALSE)</f>
        <v>0</v>
      </c>
      <c r="AI66" s="15">
        <f>VLOOKUP($A66,Courses!$A$2:$P$268,13,FALSE)</f>
        <v>3</v>
      </c>
      <c r="AJ66" s="15">
        <f>VLOOKUP($A66,Courses!$A$2:$P$268,14,FALSE)</f>
        <v>0</v>
      </c>
      <c r="AK66" s="15">
        <f>VLOOKUP($A66,Courses!$A$2:$P$268,15,FALSE)</f>
        <v>0</v>
      </c>
      <c r="AL66" s="15">
        <f>VLOOKUP($A66,Courses!$A$2:$P$268,16,FALSE)</f>
        <v>0</v>
      </c>
    </row>
    <row r="67" spans="1:38">
      <c r="A67" s="13" t="str">
        <f>CONCATENATE(D67,H67)</f>
        <v>ECON6010S1</v>
      </c>
      <c r="B67" s="69" t="s">
        <v>12</v>
      </c>
      <c r="C67" s="70">
        <v>2020</v>
      </c>
      <c r="D67" s="80" t="s">
        <v>34</v>
      </c>
      <c r="E67" s="13" t="str">
        <f>IF(VLOOKUP($A67,Courses!$A$2:$F$268,3,FALSE)=0,"",VLOOKUP($A67,Courses!$A$2:$F$268,3,FALSE))</f>
        <v>ECON8010</v>
      </c>
      <c r="F67" s="13" t="str">
        <f>IF(VLOOKUP($A67,Courses!$A$2:$F$268,4,FALSE)=0,"",VLOOKUP($A67,Courses!$A$2:$F$268,4,FALSE))</f>
        <v/>
      </c>
      <c r="G67" s="13" t="str">
        <f>VLOOKUP($A67,Courses!$A$2:$F$268,5,FALSE)</f>
        <v>Microeconomics A</v>
      </c>
      <c r="H67" s="70" t="s">
        <v>253</v>
      </c>
      <c r="I67" s="21" t="s">
        <v>252</v>
      </c>
      <c r="J67" s="70" t="s">
        <v>252</v>
      </c>
      <c r="L67" s="120">
        <v>1</v>
      </c>
      <c r="M67" s="71">
        <v>13</v>
      </c>
      <c r="N67" s="21">
        <v>1</v>
      </c>
      <c r="O67" s="21">
        <v>12</v>
      </c>
      <c r="P67" s="12">
        <f>IF($I67="Y",(wCCH1+wCCH2*$AJ67)*($AE67*$AF67)+(1-$AC67)*MIN(wCCH3*$AI67,maxCCH) + $AC67*MIN(wCCH4*$AI67,maxCCH),0)</f>
        <v>35.200000000000003</v>
      </c>
      <c r="Q67" s="12">
        <f>IF($J67="Y",(wTCH1+wTCH2*IF($K67="Y",1,0))*$AG67*$AH67+(1-$AC67)*MIN(wTCH3*$AI67,maxTCH) + $AC67*MIN(wTCH4*$AI67,maxTCH),0)</f>
        <v>13.25</v>
      </c>
      <c r="R67" s="10">
        <f>(wOLH1+wOLH2*IF($K67="Y",1,0)+wOLH3*$AD67)*$T67 + wRLH*$U67</f>
        <v>78</v>
      </c>
      <c r="S67" s="10">
        <f>wOTH*$V67 + wRTH*$W67</f>
        <v>12</v>
      </c>
      <c r="T67" s="10">
        <f>IF($L67&gt;0,$M67*$AF67,0)</f>
        <v>26</v>
      </c>
      <c r="U67" s="10">
        <f>IF($L67&gt;1,($L67-1)*$M67*$AF67,0)</f>
        <v>0</v>
      </c>
      <c r="V67" s="10">
        <f>IF($N67&gt;0,$O67*$AH67,0)</f>
        <v>12</v>
      </c>
      <c r="W67" s="10">
        <f>IF($N67&gt;1,($N67-1)*$O67*$AH67,0)</f>
        <v>0</v>
      </c>
      <c r="X67" s="12">
        <f>(wAPH1+wAPH2*IF($K67="Y",1,0)+wAPH3*$AJ67)*IF($AE67&gt;0,$M67/$AE67,0)</f>
        <v>56.25</v>
      </c>
      <c r="Y67" s="33">
        <f>wCMH*MIN($AI67,maxCMH)*IF($AE67&gt;0,$M67/$AE67,1)</f>
        <v>15</v>
      </c>
      <c r="Z67" s="12">
        <f>wCACH1*($T67+$V67) +((1-$AC67)*MIN(wCACH2*$AI67,maxCACH) + $AC67*MIN(wCACH3*$AI67,maxCACH))*IF($AE67&gt;0,$M67/$AE67,1)</f>
        <v>40.700000000000003</v>
      </c>
      <c r="AA67" s="12">
        <f>SUM($P67:$Z67)</f>
        <v>288.39999999999998</v>
      </c>
      <c r="AB67" s="10">
        <f>ROUND(AA67/172.5,1)</f>
        <v>1.7</v>
      </c>
      <c r="AC67" s="14">
        <f>IF(VLOOKUP($A67,Courses!$A$2:$P$268,7,FALSE)="Y",1,0)</f>
        <v>0</v>
      </c>
      <c r="AD67" s="14">
        <f>VLOOKUP($A67,Courses!$A$2:$P$268,8,FALSE)</f>
        <v>0</v>
      </c>
      <c r="AE67" s="14">
        <f>VLOOKUP($A67,Courses!$A$2:$P$268,9,FALSE)</f>
        <v>13</v>
      </c>
      <c r="AF67" s="14">
        <f>VLOOKUP($A67,Courses!$A$2:$P$268,10,FALSE)</f>
        <v>2</v>
      </c>
      <c r="AG67" s="14">
        <f>VLOOKUP($A67,Courses!$A$2:$P$268,11,FALSE)</f>
        <v>12</v>
      </c>
      <c r="AH67" s="15">
        <f>VLOOKUP($A67,Courses!$A$2:$P$268,12,FALSE)</f>
        <v>1</v>
      </c>
      <c r="AI67" s="15">
        <f>VLOOKUP($A67,Courses!$A$2:$P$268,13,FALSE)</f>
        <v>20</v>
      </c>
      <c r="AJ67" s="15">
        <f>VLOOKUP($A67,Courses!$A$2:$P$268,14,FALSE)</f>
        <v>1</v>
      </c>
      <c r="AK67" s="15">
        <f>VLOOKUP($A67,Courses!$A$2:$P$268,15,FALSE)</f>
        <v>0</v>
      </c>
      <c r="AL67" s="15">
        <f>VLOOKUP($A67,Courses!$A$2:$P$268,16,FALSE)</f>
        <v>1</v>
      </c>
    </row>
    <row r="68" spans="1:38">
      <c r="A68" s="13" t="str">
        <f>CONCATENATE(D68,H68)</f>
        <v>ECON6020S1</v>
      </c>
      <c r="B68" s="69" t="s">
        <v>7</v>
      </c>
      <c r="D68" s="80" t="s">
        <v>69</v>
      </c>
      <c r="E68" s="13" t="str">
        <f>IF(VLOOKUP($A68,Courses!$A$2:$F$268,3,FALSE)=0,"",VLOOKUP($A68,Courses!$A$2:$F$268,3,FALSE))</f>
        <v>ECON8020</v>
      </c>
      <c r="F68" s="13" t="str">
        <f>IF(VLOOKUP($A68,Courses!$A$2:$F$268,4,FALSE)=0,"",VLOOKUP($A68,Courses!$A$2:$F$268,4,FALSE))</f>
        <v/>
      </c>
      <c r="G68" s="13" t="str">
        <f>VLOOKUP($A68,Courses!$A$2:$F$268,5,FALSE)</f>
        <v>Macroeconomics A</v>
      </c>
      <c r="H68" s="70" t="s">
        <v>253</v>
      </c>
      <c r="I68" s="21" t="s">
        <v>252</v>
      </c>
      <c r="J68" s="70" t="s">
        <v>252</v>
      </c>
      <c r="K68" s="70" t="s">
        <v>252</v>
      </c>
      <c r="L68" s="120">
        <v>1</v>
      </c>
      <c r="M68" s="71">
        <v>13</v>
      </c>
      <c r="N68" s="21">
        <v>1</v>
      </c>
      <c r="O68" s="21">
        <v>12</v>
      </c>
      <c r="P68" s="12">
        <f>IF($I68="Y",(wCCH1+wCCH2*$AJ68)*($AE68*$AF68)+(1-$AC68)*MIN(wCCH3*$AI68,maxCCH) + $AC68*MIN(wCCH4*$AI68,maxCCH),0)</f>
        <v>35.064999999999998</v>
      </c>
      <c r="Q68" s="12">
        <f>IF($J68="Y",(wTCH1+wTCH2*IF($K68="Y",1,0))*$AG68*$AH68+(1-$AC68)*MIN(wTCH3*$AI68,maxTCH) + $AC68*MIN(wTCH4*$AI68,maxTCH),0)</f>
        <v>25.1875</v>
      </c>
      <c r="R68" s="10">
        <f>(wOLH1+wOLH2*IF($K68="Y",1,0)+wOLH3*$AD68)*$T68 + wRLH*$U68</f>
        <v>130</v>
      </c>
      <c r="S68" s="10">
        <f>wOTH*$V68 + wRTH*$W68</f>
        <v>12</v>
      </c>
      <c r="T68" s="10">
        <f>IF($L68&gt;0,$M68*$AF68,0)</f>
        <v>26</v>
      </c>
      <c r="U68" s="10">
        <f>IF($L68&gt;1,($L68-1)*$M68*$AF68,0)</f>
        <v>0</v>
      </c>
      <c r="V68" s="10">
        <f>IF($N68&gt;0,$O68*$AH68,0)</f>
        <v>12</v>
      </c>
      <c r="W68" s="10">
        <f>IF($N68&gt;1,($N68-1)*$O68*$AH68,0)</f>
        <v>0</v>
      </c>
      <c r="X68" s="12">
        <f>(wAPH1+wAPH2*IF($K68="Y",1,0)+wAPH3*$AJ68)*IF($AE68&gt;0,$M68/$AE68,0)</f>
        <v>76.25</v>
      </c>
      <c r="Y68" s="33">
        <f>wCMH*MIN($AI68,maxCMH)*IF($AE68&gt;0,$M68/$AE68,1)</f>
        <v>15</v>
      </c>
      <c r="Z68" s="12">
        <f>wCACH1*($T68+$V68) +((1-$AC68)*MIN(wCACH2*$AI68,maxCACH) + $AC68*MIN(wCACH3*$AI68,maxCACH))*IF($AE68&gt;0,$M68/$AE68,1)</f>
        <v>40.564999999999998</v>
      </c>
      <c r="AA68" s="12">
        <f>SUM($P68:$Z68)</f>
        <v>372.0675</v>
      </c>
      <c r="AB68" s="10">
        <f>ROUND(AA68/172.5,1)</f>
        <v>2.2000000000000002</v>
      </c>
      <c r="AC68" s="14">
        <f>IF(VLOOKUP($A68,Courses!$A$2:$P$268,7,FALSE)="Y",1,0)</f>
        <v>0</v>
      </c>
      <c r="AD68" s="14">
        <f>VLOOKUP($A68,Courses!$A$2:$P$268,8,FALSE)</f>
        <v>0</v>
      </c>
      <c r="AE68" s="14">
        <f>VLOOKUP($A68,Courses!$A$2:$P$268,9,FALSE)</f>
        <v>13</v>
      </c>
      <c r="AF68" s="14">
        <f>VLOOKUP($A68,Courses!$A$2:$P$268,10,FALSE)</f>
        <v>2</v>
      </c>
      <c r="AG68" s="14">
        <f>VLOOKUP($A68,Courses!$A$2:$P$268,11,FALSE)</f>
        <v>12</v>
      </c>
      <c r="AH68" s="15">
        <f>VLOOKUP($A68,Courses!$A$2:$P$268,12,FALSE)</f>
        <v>1</v>
      </c>
      <c r="AI68" s="15">
        <f>VLOOKUP($A68,Courses!$A$2:$P$268,13,FALSE)</f>
        <v>19</v>
      </c>
      <c r="AJ68" s="15">
        <f>VLOOKUP($A68,Courses!$A$2:$P$268,14,FALSE)</f>
        <v>1</v>
      </c>
      <c r="AK68" s="15">
        <f>VLOOKUP($A68,Courses!$A$2:$P$268,15,FALSE)</f>
        <v>0</v>
      </c>
      <c r="AL68" s="15">
        <f>VLOOKUP($A68,Courses!$A$2:$P$268,16,FALSE)</f>
        <v>1</v>
      </c>
    </row>
    <row r="69" spans="1:38">
      <c r="A69" s="13" t="str">
        <f>CONCATENATE(D69,H69)</f>
        <v>ECON6030S2</v>
      </c>
      <c r="B69" s="57" t="s">
        <v>807</v>
      </c>
      <c r="D69" s="80" t="s">
        <v>111</v>
      </c>
      <c r="E69" s="13" t="str">
        <f>IF(VLOOKUP($A69,Courses!$A$2:$F$268,3,FALSE)=0,"",VLOOKUP($A69,Courses!$A$2:$F$268,3,FALSE))</f>
        <v>ECON8030</v>
      </c>
      <c r="F69" s="13" t="str">
        <f>IF(VLOOKUP($A69,Courses!$A$2:$F$268,4,FALSE)=0,"",VLOOKUP($A69,Courses!$A$2:$F$268,4,FALSE))</f>
        <v/>
      </c>
      <c r="G69" s="13" t="str">
        <f>VLOOKUP($A69,Courses!$A$2:$F$268,5,FALSE)</f>
        <v>Microeconomics B</v>
      </c>
      <c r="H69" s="70" t="s">
        <v>254</v>
      </c>
      <c r="I69" s="21" t="s">
        <v>252</v>
      </c>
      <c r="J69" s="157" t="s">
        <v>252</v>
      </c>
      <c r="K69" s="157" t="s">
        <v>252</v>
      </c>
      <c r="L69" s="70">
        <v>1</v>
      </c>
      <c r="M69" s="71">
        <v>13</v>
      </c>
      <c r="N69" s="21"/>
      <c r="P69" s="12">
        <f>IF($I69="Y",(wCCH1+wCCH2*$AJ69)*($AE69*$AF69)+(1-$AC69)*MIN(wCCH3*$AI69,maxCCH) + $AC69*MIN(wCCH4*$AI69,maxCCH),0)</f>
        <v>50.505000000000003</v>
      </c>
      <c r="Q69" s="12">
        <f>IF($J69="Y",(wTCH1+wTCH2*IF($K69="Y",1,0))*$AG69*$AH69+(1-$AC69)*MIN(wTCH3*$AI69,maxTCH) + $AC69*MIN(wTCH4*$AI69,maxTCH),0)</f>
        <v>0.8125</v>
      </c>
      <c r="R69" s="10">
        <f>(wOLH1+wOLH2*IF($K69="Y",1,0)+wOLH3*$AD69)*$T69 + wRLH*$U69</f>
        <v>195</v>
      </c>
      <c r="S69" s="10">
        <f>wOTH*$V69 + wRTH*$W69</f>
        <v>0</v>
      </c>
      <c r="T69" s="10">
        <f>IF($L69&gt;0,$M69*$AF69,0)</f>
        <v>39</v>
      </c>
      <c r="U69" s="10">
        <f>IF($L69&gt;1,($L69-1)*$M69*$AF69,0)</f>
        <v>0</v>
      </c>
      <c r="V69" s="10">
        <f>IF($N69&gt;0,$O69*$AH69,0)</f>
        <v>0</v>
      </c>
      <c r="W69" s="10">
        <f>IF($N69&gt;1,($N69-1)*$O69*$AH69,0)</f>
        <v>0</v>
      </c>
      <c r="X69" s="12">
        <f>(wAPH1+wAPH2*IF($K69="Y",1,0)+wAPH3*$AJ69)*IF($AE69&gt;0,$M69/$AE69,0)</f>
        <v>76.25</v>
      </c>
      <c r="Y69" s="33">
        <f>wCMH*MIN($AI69,maxCMH)*IF($AE69&gt;0,$M69/$AE69,1)</f>
        <v>13</v>
      </c>
      <c r="Z69" s="12">
        <f>wCACH1*($T69+$V69) +((1-$AC69)*MIN(wCACH2*$AI69,maxCACH) + $AC69*MIN(wCACH3*$AI69,maxCACH))*IF($AE69&gt;0,$M69/$AE69,1)</f>
        <v>40.755000000000003</v>
      </c>
      <c r="AA69" s="12">
        <f>SUM($P69:$Z69)</f>
        <v>415.32249999999999</v>
      </c>
      <c r="AB69" s="10">
        <f>ROUND(AA69/172.5,1)</f>
        <v>2.4</v>
      </c>
      <c r="AC69" s="14">
        <f>IF(VLOOKUP($A69,Courses!$A$2:$P$268,7,FALSE)="Y",1,0)</f>
        <v>0</v>
      </c>
      <c r="AD69" s="14">
        <f>VLOOKUP($A69,Courses!$A$2:$P$268,8,FALSE)</f>
        <v>0</v>
      </c>
      <c r="AE69" s="14">
        <f>VLOOKUP($A69,Courses!$A$2:$P$268,9,FALSE)</f>
        <v>13</v>
      </c>
      <c r="AF69" s="14">
        <f>VLOOKUP($A69,Courses!$A$2:$P$268,10,FALSE)</f>
        <v>3</v>
      </c>
      <c r="AG69" s="14">
        <f>VLOOKUP($A69,Courses!$A$2:$P$268,11,FALSE)</f>
        <v>0</v>
      </c>
      <c r="AH69" s="15">
        <f>VLOOKUP($A69,Courses!$A$2:$P$268,12,FALSE)</f>
        <v>0</v>
      </c>
      <c r="AI69" s="15">
        <f>VLOOKUP($A69,Courses!$A$2:$P$268,13,FALSE)</f>
        <v>13</v>
      </c>
      <c r="AJ69" s="15">
        <f>VLOOKUP($A69,Courses!$A$2:$P$268,14,FALSE)</f>
        <v>1</v>
      </c>
      <c r="AK69" s="15">
        <f>VLOOKUP($A69,Courses!$A$2:$P$268,15,FALSE)</f>
        <v>0</v>
      </c>
      <c r="AL69" s="15">
        <f>VLOOKUP($A69,Courses!$A$2:$P$268,16,FALSE)</f>
        <v>0</v>
      </c>
    </row>
    <row r="70" spans="1:38">
      <c r="A70" s="13" t="str">
        <f>CONCATENATE(D70,H70)</f>
        <v>ECON6040S2</v>
      </c>
      <c r="B70" s="69" t="s">
        <v>125</v>
      </c>
      <c r="C70" s="83">
        <v>2020</v>
      </c>
      <c r="D70" s="80" t="s">
        <v>84</v>
      </c>
      <c r="E70" s="13" t="str">
        <f>IF(VLOOKUP($A70,Courses!$A$2:$F$268,3,FALSE)=0,"",VLOOKUP($A70,Courses!$A$2:$F$268,3,FALSE))</f>
        <v>ECON8040</v>
      </c>
      <c r="F70" s="13" t="str">
        <f>IF(VLOOKUP($A70,Courses!$A$2:$F$268,4,FALSE)=0,"",VLOOKUP($A70,Courses!$A$2:$F$268,4,FALSE))</f>
        <v/>
      </c>
      <c r="G70" s="13" t="str">
        <f>VLOOKUP($A70,Courses!$A$2:$F$268,5,FALSE)</f>
        <v>Macroeconomics B</v>
      </c>
      <c r="H70" s="70" t="s">
        <v>254</v>
      </c>
      <c r="I70" s="21" t="s">
        <v>252</v>
      </c>
      <c r="L70" s="70">
        <v>1</v>
      </c>
      <c r="M70" s="71">
        <v>13</v>
      </c>
      <c r="N70" s="21"/>
      <c r="P70" s="12">
        <f>IF($I70="Y",(wCCH1+wCCH2*$AJ70)*($AE70*$AF70)+(1-$AC70)*MIN(wCCH3*$AI70,maxCCH) + $AC70*MIN(wCCH4*$AI70,maxCCH),0)</f>
        <v>50.37</v>
      </c>
      <c r="Q70" s="12">
        <f>IF($J70="Y",(wTCH1+wTCH2*IF($K70="Y",1,0))*$AG70*$AH70+(1-$AC70)*MIN(wTCH3*$AI70,maxTCH) + $AC70*MIN(wTCH4*$AI70,maxTCH),0)</f>
        <v>0</v>
      </c>
      <c r="R70" s="10">
        <f>(wOLH1+wOLH2*IF($K70="Y",1,0)+wOLH3*$AD70)*$T70 + wRLH*$U70</f>
        <v>117</v>
      </c>
      <c r="S70" s="10">
        <f>wOTH*$V70 + wRTH*$W70</f>
        <v>0</v>
      </c>
      <c r="T70" s="10">
        <f>IF($L70&gt;0,$M70*$AF70,0)</f>
        <v>39</v>
      </c>
      <c r="U70" s="10">
        <f>IF($L70&gt;1,($L70-1)*$M70*$AF70,0)</f>
        <v>0</v>
      </c>
      <c r="V70" s="10">
        <f>IF($N70&gt;0,$O70*$AH70,0)</f>
        <v>0</v>
      </c>
      <c r="W70" s="10">
        <f>IF($N70&gt;1,($N70-1)*$O70*$AH70,0)</f>
        <v>0</v>
      </c>
      <c r="X70" s="12">
        <f>(wAPH1+wAPH2*IF($K70="Y",1,0)+wAPH3*$AJ70)*IF($AE70&gt;0,$M70/$AE70,0)</f>
        <v>56.25</v>
      </c>
      <c r="Y70" s="33">
        <f>wCMH*MIN($AI70,maxCMH)*IF($AE70&gt;0,$M70/$AE70,1)</f>
        <v>12</v>
      </c>
      <c r="Z70" s="12">
        <f>wCACH1*($T70+$V70) +((1-$AC70)*MIN(wCACH2*$AI70,maxCACH) + $AC70*MIN(wCACH3*$AI70,maxCACH))*IF($AE70&gt;0,$M70/$AE70,1)</f>
        <v>40.619999999999997</v>
      </c>
      <c r="AA70" s="12">
        <f>SUM($P70:$Z70)</f>
        <v>315.24</v>
      </c>
      <c r="AB70" s="10">
        <f>ROUND(AA70/172.5,1)</f>
        <v>1.8</v>
      </c>
      <c r="AC70" s="14">
        <f>IF(VLOOKUP($A70,Courses!$A$2:$P$268,7,FALSE)="Y",1,0)</f>
        <v>0</v>
      </c>
      <c r="AD70" s="14">
        <f>VLOOKUP($A70,Courses!$A$2:$P$268,8,FALSE)</f>
        <v>0</v>
      </c>
      <c r="AE70" s="14">
        <f>VLOOKUP($A70,Courses!$A$2:$P$268,9,FALSE)</f>
        <v>13</v>
      </c>
      <c r="AF70" s="14">
        <f>VLOOKUP($A70,Courses!$A$2:$P$268,10,FALSE)</f>
        <v>3</v>
      </c>
      <c r="AG70" s="14">
        <f>VLOOKUP($A70,Courses!$A$2:$P$268,11,FALSE)</f>
        <v>0</v>
      </c>
      <c r="AH70" s="15">
        <f>VLOOKUP($A70,Courses!$A$2:$P$268,12,FALSE)</f>
        <v>0</v>
      </c>
      <c r="AI70" s="15">
        <f>VLOOKUP($A70,Courses!$A$2:$P$268,13,FALSE)</f>
        <v>12</v>
      </c>
      <c r="AJ70" s="15">
        <f>VLOOKUP($A70,Courses!$A$2:$P$268,14,FALSE)</f>
        <v>1</v>
      </c>
      <c r="AK70" s="15">
        <f>VLOOKUP($A70,Courses!$A$2:$P$268,15,FALSE)</f>
        <v>0</v>
      </c>
      <c r="AL70" s="15">
        <f>VLOOKUP($A70,Courses!$A$2:$P$268,16,FALSE)</f>
        <v>0</v>
      </c>
    </row>
    <row r="71" spans="1:38">
      <c r="A71" s="13" t="str">
        <f>CONCATENATE(D71,H71)</f>
        <v>ECON6080S2</v>
      </c>
      <c r="B71" s="69" t="s">
        <v>138</v>
      </c>
      <c r="C71" s="70">
        <v>2020</v>
      </c>
      <c r="D71" s="80" t="s">
        <v>166</v>
      </c>
      <c r="E71" s="13" t="str">
        <f>IF(VLOOKUP($A71,Courses!$A$2:$F$268,3,FALSE)=0,"",VLOOKUP($A71,Courses!$A$2:$F$268,3,FALSE))</f>
        <v>ECON8080</v>
      </c>
      <c r="F71" s="13" t="str">
        <f>IF(VLOOKUP($A71,Courses!$A$2:$F$268,4,FALSE)=0,"",VLOOKUP($A71,Courses!$A$2:$F$268,4,FALSE))</f>
        <v/>
      </c>
      <c r="G71" s="13" t="str">
        <f>VLOOKUP($A71,Courses!$A$2:$F$268,5,FALSE)</f>
        <v>Computational Methods in Economics</v>
      </c>
      <c r="H71" s="70" t="s">
        <v>254</v>
      </c>
      <c r="I71" s="21" t="s">
        <v>252</v>
      </c>
      <c r="L71" s="70">
        <v>1</v>
      </c>
      <c r="M71" s="71">
        <v>13</v>
      </c>
      <c r="N71" s="21"/>
      <c r="P71" s="12">
        <f>IF($I71="Y",(wCCH1+wCCH2*$AJ71)*($AE71*$AF71)+(1-$AC71)*MIN(wCCH3*$AI71,maxCCH) + $AC71*MIN(wCCH4*$AI71,maxCCH),0)</f>
        <v>50.37</v>
      </c>
      <c r="Q71" s="12">
        <f>IF($J71="Y",(wTCH1+wTCH2*IF($K71="Y",1,0))*$AG71*$AH71+(1-$AC71)*MIN(wTCH3*$AI71,maxTCH) + $AC71*MIN(wTCH4*$AI71,maxTCH),0)</f>
        <v>0</v>
      </c>
      <c r="R71" s="10">
        <f>(wOLH1+wOLH2*IF($K71="Y",1,0)+wOLH3*$AD71)*$T71 + wRLH*$U71</f>
        <v>117</v>
      </c>
      <c r="S71" s="10">
        <f>wOTH*$V71 + wRTH*$W71</f>
        <v>0</v>
      </c>
      <c r="T71" s="10">
        <f>IF($L71&gt;0,$M71*$AF71,0)</f>
        <v>39</v>
      </c>
      <c r="U71" s="10">
        <f>IF($L71&gt;1,($L71-1)*$M71*$AF71,0)</f>
        <v>0</v>
      </c>
      <c r="V71" s="10">
        <f>IF($N71&gt;0,$O71*$AH71,0)</f>
        <v>0</v>
      </c>
      <c r="W71" s="10">
        <f>IF($N71&gt;1,($N71-1)*$O71*$AH71,0)</f>
        <v>0</v>
      </c>
      <c r="X71" s="12">
        <f>(wAPH1+wAPH2*IF($K71="Y",1,0)+wAPH3*$AJ71)*IF($AE71&gt;0,$M71/$AE71,0)</f>
        <v>56.25</v>
      </c>
      <c r="Y71" s="33">
        <f>wCMH*MIN($AI71,maxCMH)*IF($AE71&gt;0,$M71/$AE71,1)</f>
        <v>12</v>
      </c>
      <c r="Z71" s="12">
        <f>wCACH1*($T71+$V71) +((1-$AC71)*MIN(wCACH2*$AI71,maxCACH) + $AC71*MIN(wCACH3*$AI71,maxCACH))*IF($AE71&gt;0,$M71/$AE71,1)</f>
        <v>40.619999999999997</v>
      </c>
      <c r="AA71" s="12">
        <f>SUM($P71:$Z71)</f>
        <v>315.24</v>
      </c>
      <c r="AB71" s="10">
        <f>ROUND(AA71/172.5,1)</f>
        <v>1.8</v>
      </c>
      <c r="AC71" s="14">
        <f>IF(VLOOKUP($A71,Courses!$A$2:$P$268,7,FALSE)="Y",1,0)</f>
        <v>0</v>
      </c>
      <c r="AD71" s="14">
        <f>VLOOKUP($A71,Courses!$A$2:$P$268,8,FALSE)</f>
        <v>0</v>
      </c>
      <c r="AE71" s="14">
        <f>VLOOKUP($A71,Courses!$A$2:$P$268,9,FALSE)</f>
        <v>13</v>
      </c>
      <c r="AF71" s="14">
        <f>VLOOKUP($A71,Courses!$A$2:$P$268,10,FALSE)</f>
        <v>3</v>
      </c>
      <c r="AG71" s="14">
        <f>VLOOKUP($A71,Courses!$A$2:$P$268,11,FALSE)</f>
        <v>0</v>
      </c>
      <c r="AH71" s="15">
        <f>VLOOKUP($A71,Courses!$A$2:$P$268,12,FALSE)</f>
        <v>0</v>
      </c>
      <c r="AI71" s="15">
        <f>VLOOKUP($A71,Courses!$A$2:$P$268,13,FALSE)</f>
        <v>12</v>
      </c>
      <c r="AJ71" s="15">
        <f>VLOOKUP($A71,Courses!$A$2:$P$268,14,FALSE)</f>
        <v>1</v>
      </c>
      <c r="AK71" s="15">
        <f>VLOOKUP($A71,Courses!$A$2:$P$268,15,FALSE)</f>
        <v>0</v>
      </c>
      <c r="AL71" s="15">
        <f>VLOOKUP($A71,Courses!$A$2:$P$268,16,FALSE)</f>
        <v>0</v>
      </c>
    </row>
    <row r="72" spans="1:38">
      <c r="A72" s="13" t="str">
        <f>CONCATENATE(D72,H72)</f>
        <v>ECON6300S1</v>
      </c>
      <c r="B72" s="69" t="s">
        <v>136</v>
      </c>
      <c r="C72" s="71">
        <v>2020</v>
      </c>
      <c r="D72" s="80" t="s">
        <v>96</v>
      </c>
      <c r="E72" s="13" t="str">
        <f>IF(VLOOKUP($A72,Courses!$A$2:$F$268,3,FALSE)=0,"",VLOOKUP($A72,Courses!$A$2:$F$268,3,FALSE))</f>
        <v>ECON7320</v>
      </c>
      <c r="F72" s="13" t="str">
        <f>IF(VLOOKUP($A72,Courses!$A$2:$F$268,4,FALSE)=0,"",VLOOKUP($A72,Courses!$A$2:$F$268,4,FALSE))</f>
        <v>ECON8300</v>
      </c>
      <c r="G72" s="13" t="str">
        <f>VLOOKUP($A72,Courses!$A$2:$F$268,5,FALSE)</f>
        <v>Advanced Microeconometrics</v>
      </c>
      <c r="H72" s="70" t="s">
        <v>253</v>
      </c>
      <c r="I72" s="21" t="s">
        <v>252</v>
      </c>
      <c r="J72" s="70" t="s">
        <v>252</v>
      </c>
      <c r="L72" s="120">
        <v>1</v>
      </c>
      <c r="M72" s="71">
        <v>13</v>
      </c>
      <c r="N72" s="21"/>
      <c r="O72" s="21"/>
      <c r="P72" s="12">
        <f>IF($I72="Y",(wCCH1+wCCH2*$AJ72)*($AE72*$AF72)+(1-$AC72)*MIN(wCCH3*$AI72,maxCCH) + $AC72*MIN(wCCH4*$AI72,maxCCH),0)</f>
        <v>43.994999999999997</v>
      </c>
      <c r="Q72" s="12">
        <f>IF($J72="Y",(wTCH1+wTCH2*IF($K72="Y",1,0))*$AG72*$AH72+(1-$AC72)*MIN(wTCH3*$AI72,maxTCH) + $AC72*MIN(wTCH4*$AI72,maxTCH),0)</f>
        <v>28.3125</v>
      </c>
      <c r="R72" s="10">
        <f>(wOLH1+wOLH2*IF($K72="Y",1,0)+wOLH3*$AD72)*$T72 + wRLH*$U72</f>
        <v>78</v>
      </c>
      <c r="S72" s="10">
        <f>wOTH*$V72 + wRTH*$W72</f>
        <v>0</v>
      </c>
      <c r="T72" s="10">
        <f>IF($L72&gt;0,$M72*$AF72,0)</f>
        <v>26</v>
      </c>
      <c r="U72" s="10">
        <f>IF($L72&gt;1,($L72-1)*$M72*$AF72,0)</f>
        <v>0</v>
      </c>
      <c r="V72" s="10">
        <f>IF($N72&gt;0,$O72*$AH72,0)</f>
        <v>0</v>
      </c>
      <c r="W72" s="10">
        <f>IF($N72&gt;1,($N72-1)*$O72*$AH72,0)</f>
        <v>0</v>
      </c>
      <c r="X72" s="12">
        <f>(wAPH1+wAPH2*IF($K72="Y",1,0)+wAPH3*$AJ72)*IF($AE72&gt;0,$M72/$AE72,0)</f>
        <v>62.5</v>
      </c>
      <c r="Y72" s="33">
        <f>wCMH*MIN($AI72,maxCMH)*IF($AE72&gt;0,$M72/$AE72,1)</f>
        <v>15</v>
      </c>
      <c r="Z72" s="12">
        <f>wCACH1*($T72+$V72) +((1-$AC72)*MIN(wCACH2*$AI72,maxCACH) + $AC72*MIN(wCACH3*$AI72,maxCACH))*IF($AE72&gt;0,$M72/$AE72,1)</f>
        <v>30.995000000000001</v>
      </c>
      <c r="AA72" s="12">
        <f>SUM($P72:$Z72)</f>
        <v>284.80250000000001</v>
      </c>
      <c r="AB72" s="10">
        <f>ROUND(AA72/172.5,1)</f>
        <v>1.7</v>
      </c>
      <c r="AC72" s="14">
        <f>IF(VLOOKUP($A72,Courses!$A$2:$P$268,7,FALSE)="Y",1,0)</f>
        <v>0</v>
      </c>
      <c r="AD72" s="14">
        <f>VLOOKUP($A72,Courses!$A$2:$P$268,8,FALSE)</f>
        <v>0</v>
      </c>
      <c r="AE72" s="14">
        <f>VLOOKUP($A72,Courses!$A$2:$P$268,9,FALSE)</f>
        <v>13</v>
      </c>
      <c r="AF72" s="14">
        <f>VLOOKUP($A72,Courses!$A$2:$P$268,10,FALSE)</f>
        <v>2</v>
      </c>
      <c r="AG72" s="14">
        <f>VLOOKUP($A72,Courses!$A$2:$P$268,11,FALSE)</f>
        <v>13</v>
      </c>
      <c r="AH72" s="15">
        <f>VLOOKUP($A72,Courses!$A$2:$P$268,12,FALSE)</f>
        <v>2</v>
      </c>
      <c r="AI72" s="15">
        <f>VLOOKUP($A72,Courses!$A$2:$P$268,13,FALSE)</f>
        <v>37</v>
      </c>
      <c r="AJ72" s="15">
        <f>VLOOKUP($A72,Courses!$A$2:$P$268,14,FALSE)</f>
        <v>2</v>
      </c>
      <c r="AK72" s="15">
        <f>VLOOKUP($A72,Courses!$A$2:$P$268,15,FALSE)</f>
        <v>0</v>
      </c>
      <c r="AL72" s="15">
        <f>VLOOKUP($A72,Courses!$A$2:$P$268,16,FALSE)</f>
        <v>1</v>
      </c>
    </row>
    <row r="73" spans="1:38">
      <c r="A73" s="13" t="str">
        <f>CONCATENATE(D73,H73)</f>
        <v>ECON6310S2</v>
      </c>
      <c r="B73" s="69" t="s">
        <v>130</v>
      </c>
      <c r="C73" s="83">
        <v>2020</v>
      </c>
      <c r="D73" s="80" t="s">
        <v>107</v>
      </c>
      <c r="E73" s="13" t="str">
        <f>IF(VLOOKUP($A73,Courses!$A$2:$F$268,3,FALSE)=0,"",VLOOKUP($A73,Courses!$A$2:$F$268,3,FALSE))</f>
        <v>ECON7330</v>
      </c>
      <c r="F73" s="13" t="str">
        <f>IF(VLOOKUP($A73,Courses!$A$2:$F$268,4,FALSE)=0,"",VLOOKUP($A73,Courses!$A$2:$F$268,4,FALSE))</f>
        <v/>
      </c>
      <c r="G73" s="13" t="str">
        <f>VLOOKUP($A73,Courses!$A$2:$F$268,5,FALSE)</f>
        <v>Advanced Econometric Theory</v>
      </c>
      <c r="H73" s="70" t="s">
        <v>254</v>
      </c>
      <c r="I73" s="21" t="s">
        <v>252</v>
      </c>
      <c r="L73" s="70">
        <v>1</v>
      </c>
      <c r="M73" s="71">
        <v>13</v>
      </c>
      <c r="N73" s="21"/>
      <c r="P73" s="12">
        <f>IF($I73="Y",(wCCH1+wCCH2*$AJ73)*($AE73*$AF73)+(1-$AC73)*MIN(wCCH3*$AI73,maxCCH) + $AC73*MIN(wCCH4*$AI73,maxCCH),0)</f>
        <v>50.64</v>
      </c>
      <c r="Q73" s="12">
        <f>IF($J73="Y",(wTCH1+wTCH2*IF($K73="Y",1,0))*$AG73*$AH73+(1-$AC73)*MIN(wTCH3*$AI73,maxTCH) + $AC73*MIN(wTCH4*$AI73,maxTCH),0)</f>
        <v>0</v>
      </c>
      <c r="R73" s="10">
        <f>(wOLH1+wOLH2*IF($K73="Y",1,0)+wOLH3*$AD73)*$T73 + wRLH*$U73</f>
        <v>117</v>
      </c>
      <c r="S73" s="10">
        <f>wOTH*$V73 + wRTH*$W73</f>
        <v>0</v>
      </c>
      <c r="T73" s="10">
        <f>IF($L73&gt;0,$M73*$AF73,0)</f>
        <v>39</v>
      </c>
      <c r="U73" s="10">
        <f>IF($L73&gt;1,($L73-1)*$M73*$AF73,0)</f>
        <v>0</v>
      </c>
      <c r="V73" s="10">
        <f>IF($N73&gt;0,$O73*$AH73,0)</f>
        <v>0</v>
      </c>
      <c r="W73" s="10">
        <f>IF($N73&gt;1,($N73-1)*$O73*$AH73,0)</f>
        <v>0</v>
      </c>
      <c r="X73" s="12">
        <f>(wAPH1+wAPH2*IF($K73="Y",1,0)+wAPH3*$AJ73)*IF($AE73&gt;0,$M73/$AE73,0)</f>
        <v>56.25</v>
      </c>
      <c r="Y73" s="33">
        <f>wCMH*MIN($AI73,maxCMH)*IF($AE73&gt;0,$M73/$AE73,1)</f>
        <v>14</v>
      </c>
      <c r="Z73" s="12">
        <f>wCACH1*($T73+$V73) +((1-$AC73)*MIN(wCACH2*$AI73,maxCACH) + $AC73*MIN(wCACH3*$AI73,maxCACH))*IF($AE73&gt;0,$M73/$AE73,1)</f>
        <v>40.89</v>
      </c>
      <c r="AA73" s="12">
        <f>SUM($P73:$Z73)</f>
        <v>317.77999999999997</v>
      </c>
      <c r="AB73" s="10">
        <f>ROUND(AA73/172.5,1)</f>
        <v>1.8</v>
      </c>
      <c r="AC73" s="14">
        <f>IF(VLOOKUP($A73,Courses!$A$2:$P$268,7,FALSE)="Y",1,0)</f>
        <v>0</v>
      </c>
      <c r="AD73" s="14">
        <f>VLOOKUP($A73,Courses!$A$2:$P$268,8,FALSE)</f>
        <v>0</v>
      </c>
      <c r="AE73" s="14">
        <f>VLOOKUP($A73,Courses!$A$2:$P$268,9,FALSE)</f>
        <v>13</v>
      </c>
      <c r="AF73" s="14">
        <f>VLOOKUP($A73,Courses!$A$2:$P$268,10,FALSE)</f>
        <v>3</v>
      </c>
      <c r="AG73" s="14">
        <f>VLOOKUP($A73,Courses!$A$2:$P$268,11,FALSE)</f>
        <v>0</v>
      </c>
      <c r="AH73" s="15">
        <f>VLOOKUP($A73,Courses!$A$2:$P$268,12,FALSE)</f>
        <v>0</v>
      </c>
      <c r="AI73" s="15">
        <f>VLOOKUP($A73,Courses!$A$2:$P$268,13,FALSE)</f>
        <v>14</v>
      </c>
      <c r="AJ73" s="15">
        <f>VLOOKUP($A73,Courses!$A$2:$P$268,14,FALSE)</f>
        <v>1</v>
      </c>
      <c r="AK73" s="15">
        <f>VLOOKUP($A73,Courses!$A$2:$P$268,15,FALSE)</f>
        <v>0</v>
      </c>
      <c r="AL73" s="15">
        <f>VLOOKUP($A73,Courses!$A$2:$P$268,16,FALSE)</f>
        <v>0</v>
      </c>
    </row>
    <row r="74" spans="1:38">
      <c r="A74" s="13" t="str">
        <f>CONCATENATE(D74,H74)</f>
        <v>ECON6380S2</v>
      </c>
      <c r="B74" s="133" t="s">
        <v>141</v>
      </c>
      <c r="D74" s="80" t="s">
        <v>172</v>
      </c>
      <c r="E74" s="13" t="str">
        <f>IF(VLOOKUP($A74,Courses!$A$2:$F$268,3,FALSE)=0,"",VLOOKUP($A74,Courses!$A$2:$F$268,3,FALSE))</f>
        <v>ECON7380</v>
      </c>
      <c r="F74" s="13" t="str">
        <f>IF(VLOOKUP($A74,Courses!$A$2:$F$268,4,FALSE)=0,"",VLOOKUP($A74,Courses!$A$2:$F$268,4,FALSE))</f>
        <v>ECON8380</v>
      </c>
      <c r="G74" s="13" t="str">
        <f>VLOOKUP($A74,Courses!$A$2:$F$268,5,FALSE)</f>
        <v>Advanced Macroeconometrics</v>
      </c>
      <c r="H74" s="70" t="s">
        <v>254</v>
      </c>
      <c r="I74" s="21" t="s">
        <v>252</v>
      </c>
      <c r="J74" s="70" t="s">
        <v>252</v>
      </c>
      <c r="L74" s="70">
        <v>1</v>
      </c>
      <c r="M74" s="71">
        <v>13</v>
      </c>
      <c r="N74" s="21">
        <v>1</v>
      </c>
      <c r="O74" s="70">
        <v>12</v>
      </c>
      <c r="P74" s="12">
        <f>IF($I74="Y",(wCCH1+wCCH2*$AJ74)*($AE74*$AF74)+(1-$AC74)*MIN(wCCH3*$AI74,maxCCH) + $AC74*MIN(wCCH4*$AI74,maxCCH),0)</f>
        <v>41.024999999999999</v>
      </c>
      <c r="Q74" s="12">
        <f>IF($J74="Y",(wTCH1+wTCH2*IF($K74="Y",1,0))*$AG74*$AH74+(1-$AC74)*MIN(wTCH3*$AI74,maxTCH) + $AC74*MIN(wTCH4*$AI74,maxTCH),0)</f>
        <v>12.9375</v>
      </c>
      <c r="R74" s="10">
        <f>(wOLH1+wOLH2*IF($K74="Y",1,0)+wOLH3*$AD74)*$T74 + wRLH*$U74</f>
        <v>78</v>
      </c>
      <c r="S74" s="10">
        <f>wOTH*$V74 + wRTH*$W74</f>
        <v>12</v>
      </c>
      <c r="T74" s="10">
        <f>IF($L74&gt;0,$M74*$AF74,0)</f>
        <v>26</v>
      </c>
      <c r="U74" s="10">
        <f>IF($L74&gt;1,($L74-1)*$M74*$AF74,0)</f>
        <v>0</v>
      </c>
      <c r="V74" s="10">
        <f>IF($N74&gt;0,$O74*$AH74,0)</f>
        <v>12</v>
      </c>
      <c r="W74" s="10">
        <f>IF($N74&gt;1,($N74-1)*$O74*$AH74,0)</f>
        <v>0</v>
      </c>
      <c r="X74" s="12">
        <f>(wAPH1+wAPH2*IF($K74="Y",1,0)+wAPH3*$AJ74)*IF($AE74&gt;0,$M74/$AE74,0)</f>
        <v>62.5</v>
      </c>
      <c r="Y74" s="33">
        <f>wCMH*MIN($AI74,maxCMH)*IF($AE74&gt;0,$M74/$AE74,1)</f>
        <v>15</v>
      </c>
      <c r="Z74" s="12">
        <f>wCACH1*($T74+$V74) +((1-$AC74)*MIN(wCACH2*$AI74,maxCACH) + $AC74*MIN(wCACH3*$AI74,maxCACH))*IF($AE74&gt;0,$M74/$AE74,1)</f>
        <v>40.024999999999999</v>
      </c>
      <c r="AA74" s="12">
        <f>SUM($P74:$Z74)</f>
        <v>299.48749999999995</v>
      </c>
      <c r="AB74" s="10">
        <f>ROUND(AA74/172.5,1)</f>
        <v>1.7</v>
      </c>
      <c r="AC74" s="14">
        <f>IF(VLOOKUP($A74,Courses!$A$2:$P$268,7,FALSE)="Y",1,0)</f>
        <v>0</v>
      </c>
      <c r="AD74" s="14">
        <f>VLOOKUP($A74,Courses!$A$2:$P$268,8,FALSE)</f>
        <v>0</v>
      </c>
      <c r="AE74" s="14">
        <f>VLOOKUP($A74,Courses!$A$2:$P$268,9,FALSE)</f>
        <v>13</v>
      </c>
      <c r="AF74" s="14">
        <f>VLOOKUP($A74,Courses!$A$2:$P$268,10,FALSE)</f>
        <v>2</v>
      </c>
      <c r="AG74" s="14">
        <f>VLOOKUP($A74,Courses!$A$2:$P$268,11,FALSE)</f>
        <v>12</v>
      </c>
      <c r="AH74" s="15">
        <f>VLOOKUP($A74,Courses!$A$2:$P$268,12,FALSE)</f>
        <v>1</v>
      </c>
      <c r="AI74" s="15">
        <f>VLOOKUP($A74,Courses!$A$2:$P$268,13,FALSE)</f>
        <v>15</v>
      </c>
      <c r="AJ74" s="15">
        <f>VLOOKUP($A74,Courses!$A$2:$P$268,14,FALSE)</f>
        <v>2</v>
      </c>
      <c r="AK74" s="15">
        <f>VLOOKUP($A74,Courses!$A$2:$P$268,15,FALSE)</f>
        <v>0</v>
      </c>
      <c r="AL74" s="15">
        <f>VLOOKUP($A74,Courses!$A$2:$P$268,16,FALSE)</f>
        <v>1</v>
      </c>
    </row>
    <row r="75" spans="1:38">
      <c r="A75" s="13" t="str">
        <f>CONCATENATE(D75,H75)</f>
        <v>ECON6390S2</v>
      </c>
      <c r="B75" s="69" t="s">
        <v>141</v>
      </c>
      <c r="C75" s="71">
        <v>2019</v>
      </c>
      <c r="D75" s="80" t="s">
        <v>160</v>
      </c>
      <c r="E75" s="13" t="str">
        <f>IF(VLOOKUP($A75,Courses!$A$2:$F$268,3,FALSE)=0,"",VLOOKUP($A75,Courses!$A$2:$F$268,3,FALSE))</f>
        <v>ECON7390</v>
      </c>
      <c r="F75" s="13" t="str">
        <f>IF(VLOOKUP($A75,Courses!$A$2:$F$268,4,FALSE)=0,"",VLOOKUP($A75,Courses!$A$2:$F$268,4,FALSE))</f>
        <v/>
      </c>
      <c r="G75" s="13" t="str">
        <f>VLOOKUP($A75,Courses!$A$2:$F$268,5,FALSE)</f>
        <v>Financial Econometrics</v>
      </c>
      <c r="H75" s="70" t="s">
        <v>254</v>
      </c>
      <c r="I75" s="21" t="s">
        <v>252</v>
      </c>
      <c r="L75" s="120">
        <v>1</v>
      </c>
      <c r="M75" s="71">
        <v>13</v>
      </c>
      <c r="N75" s="21"/>
      <c r="O75" s="21"/>
      <c r="P75" s="12">
        <f>IF($I75="Y",(wCCH1+wCCH2*$AJ75)*($AE75*$AF75)+(1-$AC75)*MIN(wCCH3*$AI75,maxCCH) + $AC75*MIN(wCCH4*$AI75,maxCCH),0)</f>
        <v>35.875</v>
      </c>
      <c r="Q75" s="12">
        <f>IF($J75="Y",(wTCH1+wTCH2*IF($K75="Y",1,0))*$AG75*$AH75+(1-$AC75)*MIN(wTCH3*$AI75,maxTCH) + $AC75*MIN(wTCH4*$AI75,maxTCH),0)</f>
        <v>0</v>
      </c>
      <c r="R75" s="10">
        <f>(wOLH1+wOLH2*IF($K75="Y",1,0)+wOLH3*$AD75)*$T75 + wRLH*$U75</f>
        <v>78</v>
      </c>
      <c r="S75" s="10">
        <f>wOTH*$V75 + wRTH*$W75</f>
        <v>0</v>
      </c>
      <c r="T75" s="10">
        <f>IF($L75&gt;0,$M75*$AF75,0)</f>
        <v>26</v>
      </c>
      <c r="U75" s="10">
        <f>IF($L75&gt;1,($L75-1)*$M75*$AF75,0)</f>
        <v>0</v>
      </c>
      <c r="V75" s="10">
        <f>IF($N75&gt;0,$O75*$AH75,0)</f>
        <v>0</v>
      </c>
      <c r="W75" s="10">
        <f>IF($N75&gt;1,($N75-1)*$O75*$AH75,0)</f>
        <v>0</v>
      </c>
      <c r="X75" s="12">
        <f>(wAPH1+wAPH2*IF($K75="Y",1,0)+wAPH3*$AJ75)*IF($AE75&gt;0,$M75/$AE75,0)</f>
        <v>56.25</v>
      </c>
      <c r="Y75" s="33">
        <f>wCMH*MIN($AI75,maxCMH)*IF($AE75&gt;0,$M75/$AE75,1)</f>
        <v>15</v>
      </c>
      <c r="Z75" s="12">
        <f>wCACH1*($T75+$V75) +((1-$AC75)*MIN(wCACH2*$AI75,maxCACH) + $AC75*MIN(wCACH3*$AI75,maxCACH))*IF($AE75&gt;0,$M75/$AE75,1)</f>
        <v>29.375</v>
      </c>
      <c r="AA75" s="12">
        <f>SUM($P75:$Z75)</f>
        <v>240.5</v>
      </c>
      <c r="AB75" s="10">
        <f>ROUND(AA75/172.5,1)</f>
        <v>1.4</v>
      </c>
      <c r="AC75" s="14">
        <f>IF(VLOOKUP($A75,Courses!$A$2:$P$268,7,FALSE)="Y",1,0)</f>
        <v>0</v>
      </c>
      <c r="AD75" s="14">
        <f>VLOOKUP($A75,Courses!$A$2:$P$268,8,FALSE)</f>
        <v>0</v>
      </c>
      <c r="AE75" s="14">
        <f>VLOOKUP($A75,Courses!$A$2:$P$268,9,FALSE)</f>
        <v>13</v>
      </c>
      <c r="AF75" s="14">
        <f>VLOOKUP($A75,Courses!$A$2:$P$268,10,FALSE)</f>
        <v>2</v>
      </c>
      <c r="AG75" s="14">
        <f>VLOOKUP($A75,Courses!$A$2:$P$268,11,FALSE)</f>
        <v>0</v>
      </c>
      <c r="AH75" s="15">
        <f>VLOOKUP($A75,Courses!$A$2:$P$268,12,FALSE)</f>
        <v>0</v>
      </c>
      <c r="AI75" s="15">
        <f>VLOOKUP($A75,Courses!$A$2:$P$268,13,FALSE)</f>
        <v>25</v>
      </c>
      <c r="AJ75" s="15">
        <f>VLOOKUP($A75,Courses!$A$2:$P$268,14,FALSE)</f>
        <v>1</v>
      </c>
      <c r="AK75" s="15">
        <f>VLOOKUP($A75,Courses!$A$2:$P$268,15,FALSE)</f>
        <v>0</v>
      </c>
      <c r="AL75" s="15">
        <f>VLOOKUP($A75,Courses!$A$2:$P$268,16,FALSE)</f>
        <v>0</v>
      </c>
    </row>
    <row r="76" spans="1:38">
      <c r="A76" s="13" t="str">
        <f>CONCATENATE(D76,H76)</f>
        <v>ECON6500S2</v>
      </c>
      <c r="B76" s="69" t="s">
        <v>13</v>
      </c>
      <c r="D76" s="80" t="s">
        <v>2</v>
      </c>
      <c r="E76" s="13" t="str">
        <f>IF(VLOOKUP($A76,Courses!$A$2:$F$268,3,FALSE)=0,"",VLOOKUP($A76,Courses!$A$2:$F$268,3,FALSE))</f>
        <v>ECON7510</v>
      </c>
      <c r="F76" s="13" t="str">
        <f>IF(VLOOKUP($A76,Courses!$A$2:$F$268,4,FALSE)=0,"",VLOOKUP($A76,Courses!$A$2:$F$268,4,FALSE))</f>
        <v/>
      </c>
      <c r="G76" s="13" t="str">
        <f>VLOOKUP($A76,Courses!$A$2:$F$268,5,FALSE)</f>
        <v>Economic Development</v>
      </c>
      <c r="H76" s="70" t="s">
        <v>254</v>
      </c>
      <c r="I76" s="21" t="s">
        <v>252</v>
      </c>
      <c r="K76" s="70" t="s">
        <v>252</v>
      </c>
      <c r="L76" s="70">
        <v>1</v>
      </c>
      <c r="M76" s="71">
        <v>13</v>
      </c>
      <c r="N76" s="21"/>
      <c r="P76" s="12">
        <f>IF($I76="Y",(wCCH1+wCCH2*$AJ76)*($AE76*$AF76)+(1-$AC76)*MIN(wCCH3*$AI76,maxCCH) + $AC76*MIN(wCCH4*$AI76,maxCCH),0)</f>
        <v>36.954999999999998</v>
      </c>
      <c r="Q76" s="12">
        <f>IF($J76="Y",(wTCH1+wTCH2*IF($K76="Y",1,0))*$AG76*$AH76+(1-$AC76)*MIN(wTCH3*$AI76,maxTCH) + $AC76*MIN(wTCH4*$AI76,maxTCH),0)</f>
        <v>0</v>
      </c>
      <c r="R76" s="10">
        <f>(wOLH1+wOLH2*IF($K76="Y",1,0)+wOLH3*$AD76)*$T76 + wRLH*$U76</f>
        <v>130</v>
      </c>
      <c r="S76" s="10">
        <f>wOTH*$V76 + wRTH*$W76</f>
        <v>0</v>
      </c>
      <c r="T76" s="10">
        <f>IF($L76&gt;0,$M76*$AF76,0)</f>
        <v>26</v>
      </c>
      <c r="U76" s="10">
        <f>IF($L76&gt;1,($L76-1)*$M76*$AF76,0)</f>
        <v>0</v>
      </c>
      <c r="V76" s="10">
        <f>IF($N76&gt;0,$O76*$AH76,0)</f>
        <v>0</v>
      </c>
      <c r="W76" s="10">
        <f>IF($N76&gt;1,($N76-1)*$O76*$AH76,0)</f>
        <v>0</v>
      </c>
      <c r="X76" s="12">
        <f>(wAPH1+wAPH2*IF($K76="Y",1,0)+wAPH3*$AJ76)*IF($AE76&gt;0,$M76/$AE76,0)</f>
        <v>76.25</v>
      </c>
      <c r="Y76" s="33">
        <f>wCMH*MIN($AI76,maxCMH)*IF($AE76&gt;0,$M76/$AE76,1)</f>
        <v>15</v>
      </c>
      <c r="Z76" s="12">
        <f>wCACH1*($T76+$V76) +((1-$AC76)*MIN(wCACH2*$AI76,maxCACH) + $AC76*MIN(wCACH3*$AI76,maxCACH))*IF($AE76&gt;0,$M76/$AE76,1)</f>
        <v>30.454999999999998</v>
      </c>
      <c r="AA76" s="12">
        <f>SUM($P76:$Z76)</f>
        <v>314.65999999999997</v>
      </c>
      <c r="AB76" s="10">
        <f>ROUND(AA76/172.5,1)</f>
        <v>1.8</v>
      </c>
      <c r="AC76" s="14">
        <f>IF(VLOOKUP($A76,Courses!$A$2:$P$268,7,FALSE)="Y",1,0)</f>
        <v>0</v>
      </c>
      <c r="AD76" s="14">
        <f>VLOOKUP($A76,Courses!$A$2:$P$268,8,FALSE)</f>
        <v>0</v>
      </c>
      <c r="AE76" s="14">
        <f>VLOOKUP($A76,Courses!$A$2:$P$268,9,FALSE)</f>
        <v>13</v>
      </c>
      <c r="AF76" s="14">
        <f>VLOOKUP($A76,Courses!$A$2:$P$268,10,FALSE)</f>
        <v>2</v>
      </c>
      <c r="AG76" s="14">
        <f>VLOOKUP($A76,Courses!$A$2:$P$268,11,FALSE)</f>
        <v>0</v>
      </c>
      <c r="AH76" s="15">
        <f>VLOOKUP($A76,Courses!$A$2:$P$268,12,FALSE)</f>
        <v>0</v>
      </c>
      <c r="AI76" s="15">
        <f>VLOOKUP($A76,Courses!$A$2:$P$268,13,FALSE)</f>
        <v>33</v>
      </c>
      <c r="AJ76" s="15">
        <f>VLOOKUP($A76,Courses!$A$2:$P$268,14,FALSE)</f>
        <v>1</v>
      </c>
      <c r="AK76" s="15">
        <f>VLOOKUP($A76,Courses!$A$2:$P$268,15,FALSE)</f>
        <v>0</v>
      </c>
      <c r="AL76" s="15">
        <f>VLOOKUP($A76,Courses!$A$2:$P$268,16,FALSE)</f>
        <v>0</v>
      </c>
    </row>
    <row r="77" spans="1:38">
      <c r="A77" s="13" t="str">
        <f>CONCATENATE(D77,H77)</f>
        <v>ECON6700S2</v>
      </c>
      <c r="B77" s="69" t="s">
        <v>9</v>
      </c>
      <c r="D77" s="80" t="s">
        <v>124</v>
      </c>
      <c r="E77" s="13" t="str">
        <f>IF(VLOOKUP($A77,Courses!$A$2:$F$268,3,FALSE)=0,"",VLOOKUP($A77,Courses!$A$2:$F$268,3,FALSE))</f>
        <v>ECON7720</v>
      </c>
      <c r="F77" s="13" t="str">
        <f>IF(VLOOKUP($A77,Courses!$A$2:$F$268,4,FALSE)=0,"",VLOOKUP($A77,Courses!$A$2:$F$268,4,FALSE))</f>
        <v/>
      </c>
      <c r="G77" s="13" t="str">
        <f>VLOOKUP($A77,Courses!$A$2:$F$268,5,FALSE)</f>
        <v>Ecological &amp; Environmental Economics</v>
      </c>
      <c r="H77" s="70" t="s">
        <v>254</v>
      </c>
      <c r="I77" s="21" t="s">
        <v>252</v>
      </c>
      <c r="K77" s="70" t="s">
        <v>252</v>
      </c>
      <c r="L77" s="70">
        <v>1</v>
      </c>
      <c r="M77" s="71">
        <v>13</v>
      </c>
      <c r="N77" s="21"/>
      <c r="P77" s="12">
        <f>IF($I77="Y",(wCCH1+wCCH2*$AJ77)*($AE77*$AF77)+(1-$AC77)*MIN(wCCH3*$AI77,maxCCH) + $AC77*MIN(wCCH4*$AI77,maxCCH),0)</f>
        <v>37.090000000000003</v>
      </c>
      <c r="Q77" s="12">
        <f>IF($J77="Y",(wTCH1+wTCH2*IF($K77="Y",1,0))*$AG77*$AH77+(1-$AC77)*MIN(wTCH3*$AI77,maxTCH) + $AC77*MIN(wTCH4*$AI77,maxTCH),0)</f>
        <v>0</v>
      </c>
      <c r="R77" s="10">
        <f>(wOLH1+wOLH2*IF($K77="Y",1,0)+wOLH3*$AD77)*$T77 + wRLH*$U77</f>
        <v>130</v>
      </c>
      <c r="S77" s="10">
        <f>wOTH*$V77 + wRTH*$W77</f>
        <v>0</v>
      </c>
      <c r="T77" s="10">
        <f>IF($L77&gt;0,$M77*$AF77,0)</f>
        <v>26</v>
      </c>
      <c r="U77" s="10">
        <f>IF($L77&gt;1,($L77-1)*$M77*$AF77,0)</f>
        <v>0</v>
      </c>
      <c r="V77" s="10">
        <f>IF($N77&gt;0,$O77*$AH77,0)</f>
        <v>0</v>
      </c>
      <c r="W77" s="10">
        <f>IF($N77&gt;1,($N77-1)*$O77*$AH77,0)</f>
        <v>0</v>
      </c>
      <c r="X77" s="12">
        <f>(wAPH1+wAPH2*IF($K77="Y",1,0)+wAPH3*$AJ77)*IF($AE77&gt;0,$M77/$AE77,0)</f>
        <v>76.25</v>
      </c>
      <c r="Y77" s="33">
        <f>wCMH*MIN($AI77,maxCMH)*IF($AE77&gt;0,$M77/$AE77,1)</f>
        <v>15</v>
      </c>
      <c r="Z77" s="12">
        <f>wCACH1*($T77+$V77) +((1-$AC77)*MIN(wCACH2*$AI77,maxCACH) + $AC77*MIN(wCACH3*$AI77,maxCACH))*IF($AE77&gt;0,$M77/$AE77,1)</f>
        <v>30.59</v>
      </c>
      <c r="AA77" s="12">
        <f>SUM($P77:$Z77)</f>
        <v>314.93</v>
      </c>
      <c r="AB77" s="10">
        <f>ROUND(AA77/172.5,1)</f>
        <v>1.8</v>
      </c>
      <c r="AC77" s="14">
        <f>IF(VLOOKUP($A77,Courses!$A$2:$P$268,7,FALSE)="Y",1,0)</f>
        <v>0</v>
      </c>
      <c r="AD77" s="14">
        <f>VLOOKUP($A77,Courses!$A$2:$P$268,8,FALSE)</f>
        <v>0</v>
      </c>
      <c r="AE77" s="14">
        <f>VLOOKUP($A77,Courses!$A$2:$P$268,9,FALSE)</f>
        <v>13</v>
      </c>
      <c r="AF77" s="14">
        <f>VLOOKUP($A77,Courses!$A$2:$P$268,10,FALSE)</f>
        <v>2</v>
      </c>
      <c r="AG77" s="14">
        <f>VLOOKUP($A77,Courses!$A$2:$P$268,11,FALSE)</f>
        <v>0</v>
      </c>
      <c r="AH77" s="15">
        <f>VLOOKUP($A77,Courses!$A$2:$P$268,12,FALSE)</f>
        <v>0</v>
      </c>
      <c r="AI77" s="15">
        <f>VLOOKUP($A77,Courses!$A$2:$P$268,13,FALSE)</f>
        <v>34</v>
      </c>
      <c r="AJ77" s="15">
        <f>VLOOKUP($A77,Courses!$A$2:$P$268,14,FALSE)</f>
        <v>1</v>
      </c>
      <c r="AK77" s="15">
        <f>VLOOKUP($A77,Courses!$A$2:$P$268,15,FALSE)</f>
        <v>0</v>
      </c>
      <c r="AL77" s="15">
        <f>VLOOKUP($A77,Courses!$A$2:$P$268,16,FALSE)</f>
        <v>0</v>
      </c>
    </row>
    <row r="78" spans="1:38">
      <c r="A78" s="13" t="str">
        <f>CONCATENATE(D78,H78)</f>
        <v>ECON6910S1</v>
      </c>
      <c r="B78" s="69" t="s">
        <v>12</v>
      </c>
      <c r="C78" s="70">
        <v>2020</v>
      </c>
      <c r="D78" s="80" t="s">
        <v>37</v>
      </c>
      <c r="E78" s="13" t="str">
        <f>IF(VLOOKUP($A78,Courses!$A$2:$F$268,3,FALSE)=0,"",VLOOKUP($A78,Courses!$A$2:$F$268,3,FALSE))</f>
        <v>ECON6920</v>
      </c>
      <c r="F78" s="13" t="str">
        <f>IF(VLOOKUP($A78,Courses!$A$2:$F$268,4,FALSE)=0,"",VLOOKUP($A78,Courses!$A$2:$F$268,4,FALSE))</f>
        <v/>
      </c>
      <c r="G78" s="13" t="str">
        <f>VLOOKUP($A78,Courses!$A$2:$F$268,5,FALSE)</f>
        <v>Honours Thesis</v>
      </c>
      <c r="H78" s="70" t="s">
        <v>253</v>
      </c>
      <c r="I78" s="21" t="s">
        <v>252</v>
      </c>
      <c r="L78" s="120"/>
      <c r="M78" s="71"/>
      <c r="N78" s="21">
        <v>1</v>
      </c>
      <c r="O78" s="21">
        <v>3</v>
      </c>
      <c r="P78" s="12">
        <f>IF($I78="Y",(wCCH1+wCCH2*$AJ78)*($AE78*$AF78)+(1-$AC78)*MIN(wCCH3*$AI78,maxCCH) + $AC78*MIN(wCCH4*$AI78,maxCCH),0)</f>
        <v>1.62</v>
      </c>
      <c r="Q78" s="12">
        <f>IF($J78="Y",(wTCH1+wTCH2*IF($K78="Y",1,0))*$AG78*$AH78+(1-$AC78)*MIN(wTCH3*$AI78,maxTCH) + $AC78*MIN(wTCH4*$AI78,maxTCH),0)</f>
        <v>0</v>
      </c>
      <c r="R78" s="10">
        <f>(wOLH1+wOLH2*IF($K78="Y",1,0)+wOLH3*$AD78)*$T78 + wRLH*$U78</f>
        <v>0</v>
      </c>
      <c r="S78" s="10">
        <f>wOTH*$V78 + wRTH*$W78</f>
        <v>12</v>
      </c>
      <c r="T78" s="10">
        <f>IF($L78&gt;0,$M78*$AF78,0)</f>
        <v>0</v>
      </c>
      <c r="U78" s="10">
        <f>IF($L78&gt;1,($L78-1)*$M78*$AF78,0)</f>
        <v>0</v>
      </c>
      <c r="V78" s="10">
        <f>IF($N78&gt;0,$O78*$AH78,0)</f>
        <v>12</v>
      </c>
      <c r="W78" s="10">
        <f>IF($N78&gt;1,($N78-1)*$O78*$AH78,0)</f>
        <v>0</v>
      </c>
      <c r="X78" s="12">
        <f>(wAPH1+wAPH2*IF($K78="Y",1,0)+wAPH3*$AJ78)*IF($AE78&gt;0,$M78/$AE78,0)</f>
        <v>0</v>
      </c>
      <c r="Y78" s="33">
        <f>wCMH*MIN($AI78,maxCMH)*IF($AE78&gt;0,$M78/$AE78,1)</f>
        <v>12</v>
      </c>
      <c r="Z78" s="12">
        <f>wCACH1*($T78+$V78) +((1-$AC78)*MIN(wCACH2*$AI78,maxCACH) + $AC78*MIN(wCACH3*$AI78,maxCACH))*IF($AE78&gt;0,$M78/$AE78,1)</f>
        <v>13.620000000000001</v>
      </c>
      <c r="AA78" s="12">
        <f>SUM($P78:$Z78)</f>
        <v>51.240000000000009</v>
      </c>
      <c r="AB78" s="10">
        <f>ROUND(AA78/172.5,1)</f>
        <v>0.3</v>
      </c>
      <c r="AC78" s="14">
        <f>IF(VLOOKUP($A78,Courses!$A$2:$P$268,7,FALSE)="Y",1,0)</f>
        <v>0</v>
      </c>
      <c r="AD78" s="14">
        <f>VLOOKUP($A78,Courses!$A$2:$P$268,8,FALSE)</f>
        <v>0</v>
      </c>
      <c r="AE78" s="14">
        <f>VLOOKUP($A78,Courses!$A$2:$P$268,9,FALSE)</f>
        <v>0</v>
      </c>
      <c r="AF78" s="14">
        <f>VLOOKUP($A78,Courses!$A$2:$P$268,10,FALSE)</f>
        <v>0</v>
      </c>
      <c r="AG78" s="14">
        <f>VLOOKUP($A78,Courses!$A$2:$P$268,11,FALSE)</f>
        <v>3</v>
      </c>
      <c r="AH78" s="15">
        <f>VLOOKUP($A78,Courses!$A$2:$P$268,12,FALSE)</f>
        <v>4</v>
      </c>
      <c r="AI78" s="15">
        <f>VLOOKUP($A78,Courses!$A$2:$P$268,13,FALSE)</f>
        <v>12</v>
      </c>
      <c r="AJ78" s="15">
        <f>VLOOKUP($A78,Courses!$A$2:$P$268,14,FALSE)</f>
        <v>1</v>
      </c>
      <c r="AK78" s="15">
        <f>VLOOKUP($A78,Courses!$A$2:$P$268,15,FALSE)</f>
        <v>0</v>
      </c>
      <c r="AL78" s="15">
        <f>VLOOKUP($A78,Courses!$A$2:$P$268,16,FALSE)</f>
        <v>1</v>
      </c>
    </row>
    <row r="79" spans="1:38">
      <c r="A79" s="13" t="str">
        <f>CONCATENATE(D79,H79)</f>
        <v>ECON6910S2</v>
      </c>
      <c r="B79" s="69" t="s">
        <v>12</v>
      </c>
      <c r="C79" s="70">
        <v>2020</v>
      </c>
      <c r="D79" s="80" t="s">
        <v>37</v>
      </c>
      <c r="E79" s="13" t="str">
        <f>IF(VLOOKUP($A79,Courses!$A$2:$F$268,3,FALSE)=0,"",VLOOKUP($A79,Courses!$A$2:$F$268,3,FALSE))</f>
        <v>ECON6920</v>
      </c>
      <c r="F79" s="13" t="str">
        <f>IF(VLOOKUP($A79,Courses!$A$2:$F$268,4,FALSE)=0,"",VLOOKUP($A79,Courses!$A$2:$F$268,4,FALSE))</f>
        <v/>
      </c>
      <c r="G79" s="13" t="str">
        <f>VLOOKUP($A79,Courses!$A$2:$F$268,5,FALSE)</f>
        <v>Honours Thesis</v>
      </c>
      <c r="H79" s="70" t="s">
        <v>254</v>
      </c>
      <c r="I79" s="21" t="s">
        <v>252</v>
      </c>
      <c r="M79" s="71"/>
      <c r="N79" s="21">
        <v>1</v>
      </c>
      <c r="O79" s="70">
        <v>3</v>
      </c>
      <c r="P79" s="12">
        <f>IF($I79="Y",(wCCH1+wCCH2*$AJ79)*($AE79*$AF79)+(1-$AC79)*MIN(wCCH3*$AI79,maxCCH) + $AC79*MIN(wCCH4*$AI79,maxCCH),0)</f>
        <v>1.62</v>
      </c>
      <c r="Q79" s="12">
        <f>IF($J79="Y",(wTCH1+wTCH2*IF($K79="Y",1,0))*$AG79*$AH79+(1-$AC79)*MIN(wTCH3*$AI79,maxTCH) + $AC79*MIN(wTCH4*$AI79,maxTCH),0)</f>
        <v>0</v>
      </c>
      <c r="R79" s="10">
        <f>(wOLH1+wOLH2*IF($K79="Y",1,0)+wOLH3*$AD79)*$T79 + wRLH*$U79</f>
        <v>0</v>
      </c>
      <c r="S79" s="10">
        <f>wOTH*$V79 + wRTH*$W79</f>
        <v>12</v>
      </c>
      <c r="T79" s="10">
        <f>IF($L79&gt;0,$M79*$AF79,0)</f>
        <v>0</v>
      </c>
      <c r="U79" s="10">
        <f>IF($L79&gt;1,($L79-1)*$M79*$AF79,0)</f>
        <v>0</v>
      </c>
      <c r="V79" s="10">
        <f>IF($N79&gt;0,$O79*$AH79,0)</f>
        <v>12</v>
      </c>
      <c r="W79" s="10">
        <f>IF($N79&gt;1,($N79-1)*$O79*$AH79,0)</f>
        <v>0</v>
      </c>
      <c r="X79" s="12">
        <f>(wAPH1+wAPH2*IF($K79="Y",1,0)+wAPH3*$AJ79)*IF($AE79&gt;0,$M79/$AE79,0)</f>
        <v>0</v>
      </c>
      <c r="Y79" s="33">
        <f>wCMH*MIN($AI79,maxCMH)*IF($AE79&gt;0,$M79/$AE79,1)</f>
        <v>12</v>
      </c>
      <c r="Z79" s="12">
        <f>wCACH1*($T79+$V79) +((1-$AC79)*MIN(wCACH2*$AI79,maxCACH) + $AC79*MIN(wCACH3*$AI79,maxCACH))*IF($AE79&gt;0,$M79/$AE79,1)</f>
        <v>13.620000000000001</v>
      </c>
      <c r="AA79" s="12">
        <f>SUM($P79:$Z79)</f>
        <v>51.240000000000009</v>
      </c>
      <c r="AB79" s="10">
        <f>ROUND(AA79/172.5,1)</f>
        <v>0.3</v>
      </c>
      <c r="AC79" s="14">
        <f>IF(VLOOKUP($A79,Courses!$A$2:$P$268,7,FALSE)="Y",1,0)</f>
        <v>0</v>
      </c>
      <c r="AD79" s="14">
        <f>VLOOKUP($A79,Courses!$A$2:$P$268,8,FALSE)</f>
        <v>0</v>
      </c>
      <c r="AE79" s="14">
        <f>VLOOKUP($A79,Courses!$A$2:$P$268,9,FALSE)</f>
        <v>0</v>
      </c>
      <c r="AF79" s="14">
        <f>VLOOKUP($A79,Courses!$A$2:$P$268,10,FALSE)</f>
        <v>0</v>
      </c>
      <c r="AG79" s="14">
        <f>VLOOKUP($A79,Courses!$A$2:$P$268,11,FALSE)</f>
        <v>3</v>
      </c>
      <c r="AH79" s="15">
        <f>VLOOKUP($A79,Courses!$A$2:$P$268,12,FALSE)</f>
        <v>4</v>
      </c>
      <c r="AI79" s="15">
        <f>VLOOKUP($A79,Courses!$A$2:$P$268,13,FALSE)</f>
        <v>12</v>
      </c>
      <c r="AJ79" s="15">
        <f>VLOOKUP($A79,Courses!$A$2:$P$268,14,FALSE)</f>
        <v>1</v>
      </c>
      <c r="AK79" s="15">
        <f>VLOOKUP($A79,Courses!$A$2:$P$268,15,FALSE)</f>
        <v>0</v>
      </c>
      <c r="AL79" s="15">
        <f>VLOOKUP($A79,Courses!$A$2:$P$268,16,FALSE)</f>
        <v>1</v>
      </c>
    </row>
    <row r="80" spans="1:38">
      <c r="A80" s="13" t="str">
        <f>CONCATENATE(D80,H80)</f>
        <v>ECON7000S1</v>
      </c>
      <c r="B80" s="57" t="s">
        <v>804</v>
      </c>
      <c r="D80" s="52" t="s">
        <v>163</v>
      </c>
      <c r="E80" s="13" t="str">
        <f>IF(VLOOKUP($A80,Courses!$A$2:$F$268,3,FALSE)=0,"",VLOOKUP($A80,Courses!$A$2:$F$268,3,FALSE))</f>
        <v/>
      </c>
      <c r="F80" s="13" t="str">
        <f>IF(VLOOKUP($A80,Courses!$A$2:$F$268,4,FALSE)=0,"",VLOOKUP($A80,Courses!$A$2:$F$268,4,FALSE))</f>
        <v/>
      </c>
      <c r="G80" s="13" t="str">
        <f>VLOOKUP($A80,Courses!$A$2:$F$268,5,FALSE)</f>
        <v>Foundations in Microeconomics</v>
      </c>
      <c r="H80" s="70" t="s">
        <v>253</v>
      </c>
      <c r="I80" s="21" t="s">
        <v>252</v>
      </c>
      <c r="J80" s="70" t="s">
        <v>252</v>
      </c>
      <c r="K80" s="70" t="s">
        <v>252</v>
      </c>
      <c r="L80" s="120">
        <v>1</v>
      </c>
      <c r="M80" s="71">
        <v>13</v>
      </c>
      <c r="N80" s="21"/>
      <c r="O80" s="21"/>
      <c r="P80" s="12">
        <f>IF($I80="Y",(wCCH1+wCCH2*$AJ80)*($AE80*$AF80)+(1-$AC80)*MIN(wCCH3*$AI80,maxCCH) + $AC80*MIN(wCCH4*$AI80,maxCCH),0)</f>
        <v>53.405000000000001</v>
      </c>
      <c r="Q80" s="12">
        <f>IF($J80="Y",(wTCH1+wTCH2*IF($K80="Y",1,0))*$AG80*$AH80+(1-$AC80)*MIN(wTCH3*$AI80,maxTCH) + $AC80*MIN(wTCH4*$AI80,maxTCH),0)</f>
        <v>36.6875</v>
      </c>
      <c r="R80" s="10">
        <f>(wOLH1+wOLH2*IF($K80="Y",1,0)+wOLH3*$AD80)*$T80 + wRLH*$U80</f>
        <v>130</v>
      </c>
      <c r="S80" s="10">
        <f>wOTH*$V80 + wRTH*$W80</f>
        <v>0</v>
      </c>
      <c r="T80" s="10">
        <f>IF($L80&gt;0,$M80*$AF80,0)</f>
        <v>26</v>
      </c>
      <c r="U80" s="10">
        <f>IF($L80&gt;1,($L80-1)*$M80*$AF80,0)</f>
        <v>0</v>
      </c>
      <c r="V80" s="10">
        <f>IF($N80&gt;0,$O80*$AH80,0)</f>
        <v>0</v>
      </c>
      <c r="W80" s="10">
        <f>IF($N80&gt;1,($N80-1)*$O80*$AH80,0)</f>
        <v>0</v>
      </c>
      <c r="X80" s="12">
        <f>(wAPH1+wAPH2*IF($K80="Y",1,0)+wAPH3*$AJ80)*IF($AE80&gt;0,$M80/$AE80,0)</f>
        <v>70</v>
      </c>
      <c r="Y80" s="33">
        <f>wCMH*MIN($AI80,maxCMH)*IF($AE80&gt;0,$M80/$AE80,1)</f>
        <v>15</v>
      </c>
      <c r="Z80" s="12">
        <f>wCACH1*($T80+$V80) +((1-$AC80)*MIN(wCACH2*$AI80,maxCACH) + $AC80*MIN(wCACH3*$AI80,maxCACH))*IF($AE80&gt;0,$M80/$AE80,1)</f>
        <v>53.405000000000001</v>
      </c>
      <c r="AA80" s="12">
        <f>SUM($P80:$Z80)</f>
        <v>384.49749999999995</v>
      </c>
      <c r="AB80" s="10">
        <f>ROUND(AA80/172.5,1)</f>
        <v>2.2000000000000002</v>
      </c>
      <c r="AC80" s="14">
        <f>IF(VLOOKUP($A80,Courses!$A$2:$P$268,7,FALSE)="Y",1,0)</f>
        <v>0</v>
      </c>
      <c r="AD80" s="14">
        <f>VLOOKUP($A80,Courses!$A$2:$P$268,8,FALSE)</f>
        <v>0</v>
      </c>
      <c r="AE80" s="14">
        <f>VLOOKUP($A80,Courses!$A$2:$P$268,9,FALSE)</f>
        <v>13</v>
      </c>
      <c r="AF80" s="14">
        <f>VLOOKUP($A80,Courses!$A$2:$P$268,10,FALSE)</f>
        <v>2</v>
      </c>
      <c r="AG80" s="14">
        <f>VLOOKUP($A80,Courses!$A$2:$P$268,11,FALSE)</f>
        <v>12</v>
      </c>
      <c r="AH80" s="15">
        <f>VLOOKUP($A80,Courses!$A$2:$P$268,12,FALSE)</f>
        <v>1</v>
      </c>
      <c r="AI80" s="15">
        <f>VLOOKUP($A80,Courses!$A$2:$P$268,13,FALSE)</f>
        <v>203</v>
      </c>
      <c r="AJ80" s="15">
        <f>VLOOKUP($A80,Courses!$A$2:$P$268,14,FALSE)</f>
        <v>0</v>
      </c>
      <c r="AK80" s="15">
        <f>VLOOKUP($A80,Courses!$A$2:$P$268,15,FALSE)</f>
        <v>0</v>
      </c>
      <c r="AL80" s="15">
        <f>VLOOKUP($A80,Courses!$A$2:$P$268,16,FALSE)</f>
        <v>6</v>
      </c>
    </row>
    <row r="81" spans="1:38">
      <c r="A81" s="13" t="str">
        <f>CONCATENATE(D81,H81)</f>
        <v>ECON7000S1 (GC)</v>
      </c>
      <c r="B81" s="57" t="s">
        <v>804</v>
      </c>
      <c r="D81" s="52" t="s">
        <v>163</v>
      </c>
      <c r="E81" s="13" t="str">
        <f>IF(VLOOKUP($A81,Courses!$A$2:$F$268,3,FALSE)=0,"",VLOOKUP($A81,Courses!$A$2:$F$268,3,FALSE))</f>
        <v/>
      </c>
      <c r="F81" s="13" t="str">
        <f>IF(VLOOKUP($A81,Courses!$A$2:$F$268,4,FALSE)=0,"",VLOOKUP($A81,Courses!$A$2:$F$268,4,FALSE))</f>
        <v/>
      </c>
      <c r="G81" s="13" t="str">
        <f>VLOOKUP($A81,Courses!$A$2:$F$268,5,FALSE)</f>
        <v>Foundations in Microeconomics</v>
      </c>
      <c r="H81" s="131" t="s">
        <v>796</v>
      </c>
      <c r="I81" s="21"/>
      <c r="M81" s="71"/>
      <c r="N81" s="21"/>
      <c r="P81" s="12">
        <f>IF($I81="Y",(wCCH1+wCCH2*$AJ81)*($AE81*$AF81)+(1-$AC81)*MIN(wCCH3*$AI81,maxCCH) + $AC81*MIN(wCCH4*$AI81,maxCCH),0)</f>
        <v>0</v>
      </c>
      <c r="Q81" s="12">
        <f>IF($J81="Y",(wTCH1+wTCH2*IF($K81="Y",1,0))*$AG81*$AH81+(1-$AC81)*MIN(wTCH3*$AI81,maxTCH) + $AC81*MIN(wTCH4*$AI81,maxTCH),0)</f>
        <v>0</v>
      </c>
      <c r="R81" s="10">
        <f>(wOLH1+wOLH2*IF($K81="Y",1,0)+wOLH3*$AD81)*$T81 + wRLH*$U81</f>
        <v>0</v>
      </c>
      <c r="S81" s="10">
        <f>wOTH*$V81 + wRTH*$W81</f>
        <v>0</v>
      </c>
      <c r="T81" s="10">
        <f>IF($L81&gt;0,$M81*$AF81,0)</f>
        <v>0</v>
      </c>
      <c r="U81" s="10">
        <f>IF($L81&gt;1,($L81-1)*$M81*$AF81,0)</f>
        <v>0</v>
      </c>
      <c r="V81" s="10">
        <f>IF($N81&gt;0,$O81*$AH81,0)</f>
        <v>0</v>
      </c>
      <c r="W81" s="10">
        <f>IF($N81&gt;1,($N81-1)*$O81*$AH81,0)</f>
        <v>0</v>
      </c>
      <c r="X81" s="12">
        <f>(wAPH1+wAPH2*IF($K81="Y",1,0)+wAPH3*$AJ81)*IF($AE81&gt;0,$M81/$AE81,0)</f>
        <v>0</v>
      </c>
      <c r="Y81" s="33">
        <f>wCMH*MIN($AI81,maxCMH)*IF($AE81&gt;0,$M81/$AE81,1)</f>
        <v>15</v>
      </c>
      <c r="Z81" s="12">
        <f>wCACH1*($T81+$V81) +((1-$AC81)*MIN(wCACH2*$AI81,maxCACH) + $AC81*MIN(wCACH3*$AI81,maxCACH))*IF($AE81&gt;0,$M81/$AE81,1)</f>
        <v>6.75</v>
      </c>
      <c r="AA81" s="12">
        <f>SUM($P81:$Z81)</f>
        <v>21.75</v>
      </c>
      <c r="AB81" s="10">
        <f>ROUND(AA81/172.5,1)</f>
        <v>0.1</v>
      </c>
      <c r="AC81" s="14">
        <f>IF(VLOOKUP($A81,Courses!$A$2:$P$268,7,FALSE)="Y",1,0)</f>
        <v>0</v>
      </c>
      <c r="AD81" s="14">
        <f>VLOOKUP($A81,Courses!$A$2:$P$268,8,FALSE)</f>
        <v>0</v>
      </c>
      <c r="AE81" s="14">
        <f>VLOOKUP($A81,Courses!$A$2:$P$268,9,FALSE)</f>
        <v>0</v>
      </c>
      <c r="AF81" s="14">
        <f>VLOOKUP($A81,Courses!$A$2:$P$268,10,FALSE)</f>
        <v>0</v>
      </c>
      <c r="AG81" s="14">
        <f>VLOOKUP($A81,Courses!$A$2:$P$268,11,FALSE)</f>
        <v>0</v>
      </c>
      <c r="AH81" s="15">
        <f>VLOOKUP($A81,Courses!$A$2:$P$268,12,FALSE)</f>
        <v>0</v>
      </c>
      <c r="AI81" s="15">
        <f>VLOOKUP($A81,Courses!$A$2:$P$268,13,FALSE)</f>
        <v>50</v>
      </c>
      <c r="AJ81" s="15">
        <f>VLOOKUP($A81,Courses!$A$2:$P$268,14,FALSE)</f>
        <v>0</v>
      </c>
      <c r="AK81" s="15">
        <f>VLOOKUP($A81,Courses!$A$2:$P$268,15,FALSE)</f>
        <v>0</v>
      </c>
      <c r="AL81" s="15">
        <f>VLOOKUP($A81,Courses!$A$2:$P$268,16,FALSE)</f>
        <v>0</v>
      </c>
    </row>
    <row r="82" spans="1:38">
      <c r="A82" s="13" t="str">
        <f>CONCATENATE(D82,H82)</f>
        <v>ECON7000S2</v>
      </c>
      <c r="B82" s="69" t="s">
        <v>585</v>
      </c>
      <c r="D82" s="52" t="s">
        <v>163</v>
      </c>
      <c r="E82" s="13" t="str">
        <f>IF(VLOOKUP($A82,Courses!$A$2:$F$268,3,FALSE)=0,"",VLOOKUP($A82,Courses!$A$2:$F$268,3,FALSE))</f>
        <v/>
      </c>
      <c r="F82" s="13" t="str">
        <f>IF(VLOOKUP($A82,Courses!$A$2:$F$268,4,FALSE)=0,"",VLOOKUP($A82,Courses!$A$2:$F$268,4,FALSE))</f>
        <v/>
      </c>
      <c r="G82" s="13" t="str">
        <f>VLOOKUP($A82,Courses!$A$2:$F$268,5,FALSE)</f>
        <v>Foundations in Microeconomics</v>
      </c>
      <c r="H82" s="70" t="s">
        <v>254</v>
      </c>
      <c r="I82" s="21" t="s">
        <v>252</v>
      </c>
      <c r="K82" s="70" t="s">
        <v>252</v>
      </c>
      <c r="L82" s="70">
        <v>1</v>
      </c>
      <c r="M82" s="71">
        <v>13</v>
      </c>
      <c r="N82" s="21"/>
      <c r="P82" s="12">
        <f>IF($I82="Y",(wCCH1+wCCH2*$AJ82)*($AE82*$AF82)+(1-$AC82)*MIN(wCCH3*$AI82,maxCCH) + $AC82*MIN(wCCH4*$AI82,maxCCH),0)</f>
        <v>54.484999999999999</v>
      </c>
      <c r="Q82" s="12">
        <f>IF($J82="Y",(wTCH1+wTCH2*IF($K82="Y",1,0))*$AG82*$AH82+(1-$AC82)*MIN(wTCH3*$AI82,maxTCH) + $AC82*MIN(wTCH4*$AI82,maxTCH),0)</f>
        <v>0</v>
      </c>
      <c r="R82" s="10">
        <f>(wOLH1+wOLH2*IF($K82="Y",1,0)+wOLH3*$AD82)*$T82 + wRLH*$U82</f>
        <v>130</v>
      </c>
      <c r="S82" s="10">
        <f>wOTH*$V82 + wRTH*$W82</f>
        <v>0</v>
      </c>
      <c r="T82" s="10">
        <f>IF($L82&gt;0,$M82*$AF82,0)</f>
        <v>26</v>
      </c>
      <c r="U82" s="10">
        <f>IF($L82&gt;1,($L82-1)*$M82*$AF82,0)</f>
        <v>0</v>
      </c>
      <c r="V82" s="10">
        <f>IF($N82&gt;0,$O82*$AH82,0)</f>
        <v>0</v>
      </c>
      <c r="W82" s="10">
        <f>IF($N82&gt;1,($N82-1)*$O82*$AH82,0)</f>
        <v>0</v>
      </c>
      <c r="X82" s="12">
        <f>(wAPH1+wAPH2*IF($K82="Y",1,0)+wAPH3*$AJ82)*IF($AE82&gt;0,$M82/$AE82,0)</f>
        <v>70</v>
      </c>
      <c r="Y82" s="33">
        <f>wCMH*MIN($AI82,maxCMH)*IF($AE82&gt;0,$M82/$AE82,1)</f>
        <v>15</v>
      </c>
      <c r="Z82" s="12">
        <f>wCACH1*($T82+$V82) +((1-$AC82)*MIN(wCACH2*$AI82,maxCACH) + $AC82*MIN(wCACH3*$AI82,maxCACH))*IF($AE82&gt;0,$M82/$AE82,1)</f>
        <v>54.484999999999999</v>
      </c>
      <c r="AA82" s="12">
        <f>SUM($P82:$Z82)</f>
        <v>349.97</v>
      </c>
      <c r="AB82" s="10">
        <f>ROUND(AA82/172.5,1)</f>
        <v>2</v>
      </c>
      <c r="AC82" s="14">
        <f>IF(VLOOKUP($A82,Courses!$A$2:$P$268,7,FALSE)="Y",1,0)</f>
        <v>0</v>
      </c>
      <c r="AD82" s="14">
        <f>VLOOKUP($A82,Courses!$A$2:$P$268,8,FALSE)</f>
        <v>0</v>
      </c>
      <c r="AE82" s="14">
        <f>VLOOKUP($A82,Courses!$A$2:$P$268,9,FALSE)</f>
        <v>13</v>
      </c>
      <c r="AF82" s="14">
        <f>VLOOKUP($A82,Courses!$A$2:$P$268,10,FALSE)</f>
        <v>2</v>
      </c>
      <c r="AG82" s="14">
        <f>VLOOKUP($A82,Courses!$A$2:$P$268,11,FALSE)</f>
        <v>12</v>
      </c>
      <c r="AH82" s="15">
        <f>VLOOKUP($A82,Courses!$A$2:$P$268,12,FALSE)</f>
        <v>1</v>
      </c>
      <c r="AI82" s="15">
        <f>VLOOKUP($A82,Courses!$A$2:$P$268,13,FALSE)</f>
        <v>211</v>
      </c>
      <c r="AJ82" s="15">
        <f>VLOOKUP($A82,Courses!$A$2:$P$268,14,FALSE)</f>
        <v>0</v>
      </c>
      <c r="AK82" s="15">
        <f>VLOOKUP($A82,Courses!$A$2:$P$268,15,FALSE)</f>
        <v>0</v>
      </c>
      <c r="AL82" s="15">
        <f>VLOOKUP($A82,Courses!$A$2:$P$268,16,FALSE)</f>
        <v>6</v>
      </c>
    </row>
    <row r="83" spans="1:38">
      <c r="A83" s="13" t="str">
        <f>CONCATENATE(D83,H83)</f>
        <v>ECON7000S2 (GC)</v>
      </c>
      <c r="B83" s="69" t="s">
        <v>585</v>
      </c>
      <c r="D83" s="52" t="s">
        <v>163</v>
      </c>
      <c r="E83" s="13" t="str">
        <f>IF(VLOOKUP($A83,Courses!$A$2:$F$268,3,FALSE)=0,"",VLOOKUP($A83,Courses!$A$2:$F$268,3,FALSE))</f>
        <v/>
      </c>
      <c r="F83" s="13" t="str">
        <f>IF(VLOOKUP($A83,Courses!$A$2:$F$268,4,FALSE)=0,"",VLOOKUP($A83,Courses!$A$2:$F$268,4,FALSE))</f>
        <v/>
      </c>
      <c r="G83" s="13" t="str">
        <f>VLOOKUP($A83,Courses!$A$2:$F$268,5,FALSE)</f>
        <v>Foundations in Microeconomics</v>
      </c>
      <c r="H83" s="131" t="s">
        <v>797</v>
      </c>
      <c r="I83" s="21"/>
      <c r="M83" s="71"/>
      <c r="N83" s="21"/>
      <c r="P83" s="12">
        <f>IF($I83="Y",(wCCH1+wCCH2*$AJ83)*($AE83*$AF83)+(1-$AC83)*MIN(wCCH3*$AI83,maxCCH) + $AC83*MIN(wCCH4*$AI83,maxCCH),0)</f>
        <v>0</v>
      </c>
      <c r="Q83" s="12">
        <f>IF($J83="Y",(wTCH1+wTCH2*IF($K83="Y",1,0))*$AG83*$AH83+(1-$AC83)*MIN(wTCH3*$AI83,maxTCH) + $AC83*MIN(wTCH4*$AI83,maxTCH),0)</f>
        <v>0</v>
      </c>
      <c r="R83" s="10">
        <f>(wOLH1+wOLH2*IF($K83="Y",1,0)+wOLH3*$AD83)*$T83 + wRLH*$U83</f>
        <v>0</v>
      </c>
      <c r="S83" s="10">
        <f>wOTH*$V83 + wRTH*$W83</f>
        <v>0</v>
      </c>
      <c r="T83" s="10">
        <f>IF($L83&gt;0,$M83*$AF83,0)</f>
        <v>0</v>
      </c>
      <c r="U83" s="10">
        <f>IF($L83&gt;1,($L83-1)*$M83*$AF83,0)</f>
        <v>0</v>
      </c>
      <c r="V83" s="10">
        <f>IF($N83&gt;0,$O83*$AH83,0)</f>
        <v>0</v>
      </c>
      <c r="W83" s="10">
        <f>IF($N83&gt;1,($N83-1)*$O83*$AH83,0)</f>
        <v>0</v>
      </c>
      <c r="X83" s="12">
        <f>(wAPH1+wAPH2*IF($K83="Y",1,0)+wAPH3*$AJ83)*IF($AE83&gt;0,$M83/$AE83,0)</f>
        <v>0</v>
      </c>
      <c r="Y83" s="33">
        <f>wCMH*MIN($AI83,maxCMH)*IF($AE83&gt;0,$M83/$AE83,1)</f>
        <v>15</v>
      </c>
      <c r="Z83" s="12">
        <f>wCACH1*($T83+$V83) +((1-$AC83)*MIN(wCACH2*$AI83,maxCACH) + $AC83*MIN(wCACH3*$AI83,maxCACH))*IF($AE83&gt;0,$M83/$AE83,1)</f>
        <v>6.75</v>
      </c>
      <c r="AA83" s="12">
        <f>SUM($P83:$Z83)</f>
        <v>21.75</v>
      </c>
      <c r="AB83" s="10">
        <f>ROUND(AA83/172.5,1)</f>
        <v>0.1</v>
      </c>
      <c r="AC83" s="14">
        <f>IF(VLOOKUP($A83,Courses!$A$2:$P$268,7,FALSE)="Y",1,0)</f>
        <v>0</v>
      </c>
      <c r="AD83" s="14">
        <f>VLOOKUP($A83,Courses!$A$2:$P$268,8,FALSE)</f>
        <v>0</v>
      </c>
      <c r="AE83" s="14">
        <f>VLOOKUP($A83,Courses!$A$2:$P$268,9,FALSE)</f>
        <v>0</v>
      </c>
      <c r="AF83" s="14">
        <f>VLOOKUP($A83,Courses!$A$2:$P$268,10,FALSE)</f>
        <v>0</v>
      </c>
      <c r="AG83" s="14">
        <f>VLOOKUP($A83,Courses!$A$2:$P$268,11,FALSE)</f>
        <v>0</v>
      </c>
      <c r="AH83" s="15">
        <f>VLOOKUP($A83,Courses!$A$2:$P$268,12,FALSE)</f>
        <v>0</v>
      </c>
      <c r="AI83" s="15">
        <f>VLOOKUP($A83,Courses!$A$2:$P$268,13,FALSE)</f>
        <v>50</v>
      </c>
      <c r="AJ83" s="15">
        <f>VLOOKUP($A83,Courses!$A$2:$P$268,14,FALSE)</f>
        <v>0</v>
      </c>
      <c r="AK83" s="15">
        <f>VLOOKUP($A83,Courses!$A$2:$P$268,15,FALSE)</f>
        <v>0</v>
      </c>
      <c r="AL83" s="15">
        <f>VLOOKUP($A83,Courses!$A$2:$P$268,16,FALSE)</f>
        <v>0</v>
      </c>
    </row>
    <row r="84" spans="1:38">
      <c r="A84" s="13" t="str">
        <f>CONCATENATE(D84,H84)</f>
        <v>ECON7001S1</v>
      </c>
      <c r="B84" s="69" t="s">
        <v>21</v>
      </c>
      <c r="C84" s="70">
        <v>2020</v>
      </c>
      <c r="D84" s="52" t="s">
        <v>147</v>
      </c>
      <c r="E84" s="13" t="str">
        <f>IF(VLOOKUP($A84,Courses!$A$2:$F$268,3,FALSE)=0,"",VLOOKUP($A84,Courses!$A$2:$F$268,3,FALSE))</f>
        <v/>
      </c>
      <c r="F84" s="13" t="str">
        <f>IF(VLOOKUP($A84,Courses!$A$2:$F$268,4,FALSE)=0,"",VLOOKUP($A84,Courses!$A$2:$F$268,4,FALSE))</f>
        <v/>
      </c>
      <c r="G84" s="13" t="str">
        <f>VLOOKUP($A84,Courses!$A$2:$F$268,5,FALSE)</f>
        <v>Foundations in Macroeconomics</v>
      </c>
      <c r="H84" s="70" t="s">
        <v>253</v>
      </c>
      <c r="I84" s="21" t="s">
        <v>252</v>
      </c>
      <c r="J84" s="70" t="s">
        <v>252</v>
      </c>
      <c r="L84" s="120">
        <v>1</v>
      </c>
      <c r="M84" s="71">
        <v>13</v>
      </c>
      <c r="N84" s="21"/>
      <c r="O84" s="21"/>
      <c r="P84" s="12">
        <f>IF($I84="Y",(wCCH1+wCCH2*$AJ84)*($AE84*$AF84)+(1-$AC84)*MIN(wCCH3*$AI84,maxCCH) + $AC84*MIN(wCCH4*$AI84,maxCCH),0)</f>
        <v>46.655000000000001</v>
      </c>
      <c r="Q84" s="12">
        <f>IF($J84="Y",(wTCH1+wTCH2*IF($K84="Y",1,0))*$AG84*$AH84+(1-$AC84)*MIN(wTCH3*$AI84,maxTCH) + $AC84*MIN(wTCH4*$AI84,maxTCH),0)</f>
        <v>27.5625</v>
      </c>
      <c r="R84" s="10">
        <f>(wOLH1+wOLH2*IF($K84="Y",1,0)+wOLH3*$AD84)*$T84 + wRLH*$U84</f>
        <v>78</v>
      </c>
      <c r="S84" s="10">
        <f>wOTH*$V84 + wRTH*$W84</f>
        <v>0</v>
      </c>
      <c r="T84" s="10">
        <f>IF($L84&gt;0,$M84*$AF84,0)</f>
        <v>26</v>
      </c>
      <c r="U84" s="10">
        <f>IF($L84&gt;1,($L84-1)*$M84*$AF84,0)</f>
        <v>0</v>
      </c>
      <c r="V84" s="10">
        <f>IF($N84&gt;0,$O84*$AH84,0)</f>
        <v>0</v>
      </c>
      <c r="W84" s="10">
        <f>IF($N84&gt;1,($N84-1)*$O84*$AH84,0)</f>
        <v>0</v>
      </c>
      <c r="X84" s="12">
        <f>(wAPH1+wAPH2*IF($K84="Y",1,0)+wAPH3*$AJ84)*IF($AE84&gt;0,$M84/$AE84,0)</f>
        <v>50</v>
      </c>
      <c r="Y84" s="33">
        <f>wCMH*MIN($AI84,maxCMH)*IF($AE84&gt;0,$M84/$AE84,1)</f>
        <v>15</v>
      </c>
      <c r="Z84" s="12">
        <f>wCACH1*($T84+$V84) +((1-$AC84)*MIN(wCACH2*$AI84,maxCACH) + $AC84*MIN(wCACH3*$AI84,maxCACH))*IF($AE84&gt;0,$M84/$AE84,1)</f>
        <v>46.655000000000001</v>
      </c>
      <c r="AA84" s="12">
        <f>SUM($P84:$Z84)</f>
        <v>289.8725</v>
      </c>
      <c r="AB84" s="10">
        <f>ROUND(AA84/172.5,1)</f>
        <v>1.7</v>
      </c>
      <c r="AC84" s="14">
        <f>IF(VLOOKUP($A84,Courses!$A$2:$P$268,7,FALSE)="Y",1,0)</f>
        <v>0</v>
      </c>
      <c r="AD84" s="14">
        <f>VLOOKUP($A84,Courses!$A$2:$P$268,8,FALSE)</f>
        <v>0</v>
      </c>
      <c r="AE84" s="14">
        <f>VLOOKUP($A84,Courses!$A$2:$P$268,9,FALSE)</f>
        <v>13</v>
      </c>
      <c r="AF84" s="14">
        <f>VLOOKUP($A84,Courses!$A$2:$P$268,10,FALSE)</f>
        <v>2</v>
      </c>
      <c r="AG84" s="14">
        <f>VLOOKUP($A84,Courses!$A$2:$P$268,11,FALSE)</f>
        <v>12</v>
      </c>
      <c r="AH84" s="15">
        <f>VLOOKUP($A84,Courses!$A$2:$P$268,12,FALSE)</f>
        <v>1.5</v>
      </c>
      <c r="AI84" s="15">
        <f>VLOOKUP($A84,Courses!$A$2:$P$268,13,FALSE)</f>
        <v>153</v>
      </c>
      <c r="AJ84" s="15">
        <f>VLOOKUP($A84,Courses!$A$2:$P$268,14,FALSE)</f>
        <v>0</v>
      </c>
      <c r="AK84" s="15">
        <f>VLOOKUP($A84,Courses!$A$2:$P$268,15,FALSE)</f>
        <v>0</v>
      </c>
      <c r="AL84" s="15">
        <f>VLOOKUP($A84,Courses!$A$2:$P$268,16,FALSE)</f>
        <v>4</v>
      </c>
    </row>
    <row r="85" spans="1:38">
      <c r="A85" s="13" t="str">
        <f>CONCATENATE(D85,H85)</f>
        <v>ECON7001S1 (GC)</v>
      </c>
      <c r="B85" s="69" t="s">
        <v>21</v>
      </c>
      <c r="C85" s="70">
        <v>2020</v>
      </c>
      <c r="D85" s="52" t="s">
        <v>147</v>
      </c>
      <c r="E85" s="13" t="str">
        <f>IF(VLOOKUP($A85,Courses!$A$2:$F$268,3,FALSE)=0,"",VLOOKUP($A85,Courses!$A$2:$F$268,3,FALSE))</f>
        <v/>
      </c>
      <c r="F85" s="13" t="str">
        <f>IF(VLOOKUP($A85,Courses!$A$2:$F$268,4,FALSE)=0,"",VLOOKUP($A85,Courses!$A$2:$F$268,4,FALSE))</f>
        <v/>
      </c>
      <c r="G85" s="13" t="str">
        <f>VLOOKUP($A85,Courses!$A$2:$F$268,5,FALSE)</f>
        <v>Foundations in Macroeconomics</v>
      </c>
      <c r="H85" s="131" t="s">
        <v>796</v>
      </c>
      <c r="I85" s="21"/>
      <c r="M85" s="71"/>
      <c r="N85" s="21"/>
      <c r="P85" s="12">
        <f>IF($I85="Y",(wCCH1+wCCH2*$AJ85)*($AE85*$AF85)+(1-$AC85)*MIN(wCCH3*$AI85,maxCCH) + $AC85*MIN(wCCH4*$AI85,maxCCH),0)</f>
        <v>0</v>
      </c>
      <c r="Q85" s="12">
        <f>IF($J85="Y",(wTCH1+wTCH2*IF($K85="Y",1,0))*$AG85*$AH85+(1-$AC85)*MIN(wTCH3*$AI85,maxTCH) + $AC85*MIN(wTCH4*$AI85,maxTCH),0)</f>
        <v>0</v>
      </c>
      <c r="R85" s="10">
        <f>(wOLH1+wOLH2*IF($K85="Y",1,0)+wOLH3*$AD85)*$T85 + wRLH*$U85</f>
        <v>0</v>
      </c>
      <c r="S85" s="10">
        <f>wOTH*$V85 + wRTH*$W85</f>
        <v>0</v>
      </c>
      <c r="T85" s="10">
        <f>IF($L85&gt;0,$M85*$AF85,0)</f>
        <v>0</v>
      </c>
      <c r="U85" s="10">
        <f>IF($L85&gt;1,($L85-1)*$M85*$AF85,0)</f>
        <v>0</v>
      </c>
      <c r="V85" s="10">
        <f>IF($N85&gt;0,$O85*$AH85,0)</f>
        <v>0</v>
      </c>
      <c r="W85" s="10">
        <f>IF($N85&gt;1,($N85-1)*$O85*$AH85,0)</f>
        <v>0</v>
      </c>
      <c r="X85" s="12">
        <f>(wAPH1+wAPH2*IF($K85="Y",1,0)+wAPH3*$AJ85)*IF($AE85&gt;0,$M85/$AE85,0)</f>
        <v>0</v>
      </c>
      <c r="Y85" s="33">
        <f>wCMH*MIN($AI85,maxCMH)*IF($AE85&gt;0,$M85/$AE85,1)</f>
        <v>15</v>
      </c>
      <c r="Z85" s="12">
        <f>wCACH1*($T85+$V85) +((1-$AC85)*MIN(wCACH2*$AI85,maxCACH) + $AC85*MIN(wCACH3*$AI85,maxCACH))*IF($AE85&gt;0,$M85/$AE85,1)</f>
        <v>6.75</v>
      </c>
      <c r="AA85" s="12">
        <f>SUM($P85:$Z85)</f>
        <v>21.75</v>
      </c>
      <c r="AB85" s="10">
        <f>ROUND(AA85/172.5,1)</f>
        <v>0.1</v>
      </c>
      <c r="AC85" s="14">
        <f>IF(VLOOKUP($A85,Courses!$A$2:$P$268,7,FALSE)="Y",1,0)</f>
        <v>0</v>
      </c>
      <c r="AD85" s="14">
        <f>VLOOKUP($A85,Courses!$A$2:$P$268,8,FALSE)</f>
        <v>0</v>
      </c>
      <c r="AE85" s="14">
        <f>VLOOKUP($A85,Courses!$A$2:$P$268,9,FALSE)</f>
        <v>0</v>
      </c>
      <c r="AF85" s="14">
        <f>VLOOKUP($A85,Courses!$A$2:$P$268,10,FALSE)</f>
        <v>0</v>
      </c>
      <c r="AG85" s="14">
        <f>VLOOKUP($A85,Courses!$A$2:$P$268,11,FALSE)</f>
        <v>0</v>
      </c>
      <c r="AH85" s="15">
        <f>VLOOKUP($A85,Courses!$A$2:$P$268,12,FALSE)</f>
        <v>0</v>
      </c>
      <c r="AI85" s="15">
        <f>VLOOKUP($A85,Courses!$A$2:$P$268,13,FALSE)</f>
        <v>50</v>
      </c>
      <c r="AJ85" s="15">
        <f>VLOOKUP($A85,Courses!$A$2:$P$268,14,FALSE)</f>
        <v>0</v>
      </c>
      <c r="AK85" s="15">
        <f>VLOOKUP($A85,Courses!$A$2:$P$268,15,FALSE)</f>
        <v>0</v>
      </c>
      <c r="AL85" s="15">
        <f>VLOOKUP($A85,Courses!$A$2:$P$268,16,FALSE)</f>
        <v>0</v>
      </c>
    </row>
    <row r="86" spans="1:38">
      <c r="A86" s="13" t="str">
        <f>CONCATENATE(D86,H86)</f>
        <v>ECON7001S2</v>
      </c>
      <c r="B86" s="57" t="s">
        <v>807</v>
      </c>
      <c r="D86" s="52" t="s">
        <v>147</v>
      </c>
      <c r="E86" s="13" t="str">
        <f>IF(VLOOKUP($A86,Courses!$A$2:$F$268,3,FALSE)=0,"",VLOOKUP($A86,Courses!$A$2:$F$268,3,FALSE))</f>
        <v/>
      </c>
      <c r="F86" s="13" t="str">
        <f>IF(VLOOKUP($A86,Courses!$A$2:$F$268,4,FALSE)=0,"",VLOOKUP($A86,Courses!$A$2:$F$268,4,FALSE))</f>
        <v/>
      </c>
      <c r="G86" s="13" t="str">
        <f>VLOOKUP($A86,Courses!$A$2:$F$268,5,FALSE)</f>
        <v>Foundations in Macroeconomics</v>
      </c>
      <c r="H86" s="70" t="s">
        <v>254</v>
      </c>
      <c r="I86" s="21" t="s">
        <v>252</v>
      </c>
      <c r="J86" s="70" t="s">
        <v>252</v>
      </c>
      <c r="L86" s="70">
        <v>1</v>
      </c>
      <c r="M86" s="71">
        <v>13</v>
      </c>
      <c r="N86" s="21"/>
      <c r="P86" s="12">
        <f>IF($I86="Y",(wCCH1+wCCH2*$AJ86)*($AE86*$AF86)+(1-$AC86)*MIN(wCCH3*$AI86,maxCCH) + $AC86*MIN(wCCH4*$AI86,maxCCH),0)</f>
        <v>44.225000000000001</v>
      </c>
      <c r="Q86" s="12">
        <f>IF($J86="Y",(wTCH1+wTCH2*IF($K86="Y",1,0))*$AG86*$AH86+(1-$AC86)*MIN(wTCH3*$AI86,maxTCH) + $AC86*MIN(wTCH4*$AI86,maxTCH),0)</f>
        <v>26.4375</v>
      </c>
      <c r="R86" s="10">
        <f>(wOLH1+wOLH2*IF($K86="Y",1,0)+wOLH3*$AD86)*$T86 + wRLH*$U86</f>
        <v>78</v>
      </c>
      <c r="S86" s="10">
        <f>wOTH*$V86 + wRTH*$W86</f>
        <v>0</v>
      </c>
      <c r="T86" s="10">
        <f>IF($L86&gt;0,$M86*$AF86,0)</f>
        <v>26</v>
      </c>
      <c r="U86" s="10">
        <f>IF($L86&gt;1,($L86-1)*$M86*$AF86,0)</f>
        <v>0</v>
      </c>
      <c r="V86" s="10">
        <f>IF($N86&gt;0,$O86*$AH86,0)</f>
        <v>0</v>
      </c>
      <c r="W86" s="10">
        <f>IF($N86&gt;1,($N86-1)*$O86*$AH86,0)</f>
        <v>0</v>
      </c>
      <c r="X86" s="12">
        <f>(wAPH1+wAPH2*IF($K86="Y",1,0)+wAPH3*$AJ86)*IF($AE86&gt;0,$M86/$AE86,0)</f>
        <v>50</v>
      </c>
      <c r="Y86" s="33">
        <f>wCMH*MIN($AI86,maxCMH)*IF($AE86&gt;0,$M86/$AE86,1)</f>
        <v>15</v>
      </c>
      <c r="Z86" s="12">
        <f>wCACH1*($T86+$V86) +((1-$AC86)*MIN(wCACH2*$AI86,maxCACH) + $AC86*MIN(wCACH3*$AI86,maxCACH))*IF($AE86&gt;0,$M86/$AE86,1)</f>
        <v>44.225000000000001</v>
      </c>
      <c r="AA86" s="12">
        <f>SUM($P86:$Z86)</f>
        <v>283.88749999999999</v>
      </c>
      <c r="AB86" s="10">
        <f>ROUND(AA86/172.5,1)</f>
        <v>1.6</v>
      </c>
      <c r="AC86" s="14">
        <f>IF(VLOOKUP($A86,Courses!$A$2:$P$268,7,FALSE)="Y",1,0)</f>
        <v>0</v>
      </c>
      <c r="AD86" s="14">
        <f>VLOOKUP($A86,Courses!$A$2:$P$268,8,FALSE)</f>
        <v>0</v>
      </c>
      <c r="AE86" s="14">
        <f>VLOOKUP($A86,Courses!$A$2:$P$268,9,FALSE)</f>
        <v>13</v>
      </c>
      <c r="AF86" s="14">
        <f>VLOOKUP($A86,Courses!$A$2:$P$268,10,FALSE)</f>
        <v>2</v>
      </c>
      <c r="AG86" s="14">
        <f>VLOOKUP($A86,Courses!$A$2:$P$268,11,FALSE)</f>
        <v>12</v>
      </c>
      <c r="AH86" s="15">
        <f>VLOOKUP($A86,Courses!$A$2:$P$268,12,FALSE)</f>
        <v>1.5</v>
      </c>
      <c r="AI86" s="15">
        <f>VLOOKUP($A86,Courses!$A$2:$P$268,13,FALSE)</f>
        <v>135</v>
      </c>
      <c r="AJ86" s="15">
        <f>VLOOKUP($A86,Courses!$A$2:$P$268,14,FALSE)</f>
        <v>0</v>
      </c>
      <c r="AK86" s="15">
        <f>VLOOKUP($A86,Courses!$A$2:$P$268,15,FALSE)</f>
        <v>0</v>
      </c>
      <c r="AL86" s="15">
        <f>VLOOKUP($A86,Courses!$A$2:$P$268,16,FALSE)</f>
        <v>4</v>
      </c>
    </row>
    <row r="87" spans="1:38">
      <c r="A87" s="13" t="str">
        <f>CONCATENATE(D87,H87)</f>
        <v>ECON7001S2 (GC)</v>
      </c>
      <c r="B87" s="57" t="s">
        <v>807</v>
      </c>
      <c r="D87" s="52" t="s">
        <v>147</v>
      </c>
      <c r="E87" s="13" t="str">
        <f>IF(VLOOKUP($A87,Courses!$A$2:$F$268,3,FALSE)=0,"",VLOOKUP($A87,Courses!$A$2:$F$268,3,FALSE))</f>
        <v/>
      </c>
      <c r="F87" s="13" t="str">
        <f>IF(VLOOKUP($A87,Courses!$A$2:$F$268,4,FALSE)=0,"",VLOOKUP($A87,Courses!$A$2:$F$268,4,FALSE))</f>
        <v/>
      </c>
      <c r="G87" s="13" t="str">
        <f>VLOOKUP($A87,Courses!$A$2:$F$268,5,FALSE)</f>
        <v>Foundations in Macroeconomics</v>
      </c>
      <c r="H87" s="131" t="s">
        <v>797</v>
      </c>
      <c r="I87" s="21"/>
      <c r="M87" s="71"/>
      <c r="N87" s="21"/>
      <c r="P87" s="12">
        <f>IF($I87="Y",(wCCH1+wCCH2*$AJ87)*($AE87*$AF87)+(1-$AC87)*MIN(wCCH3*$AI87,maxCCH) + $AC87*MIN(wCCH4*$AI87,maxCCH),0)</f>
        <v>0</v>
      </c>
      <c r="Q87" s="12">
        <f>IF($J87="Y",(wTCH1+wTCH2*IF($K87="Y",1,0))*$AG87*$AH87+(1-$AC87)*MIN(wTCH3*$AI87,maxTCH) + $AC87*MIN(wTCH4*$AI87,maxTCH),0)</f>
        <v>0</v>
      </c>
      <c r="R87" s="10">
        <f>(wOLH1+wOLH2*IF($K87="Y",1,0)+wOLH3*$AD87)*$T87 + wRLH*$U87</f>
        <v>0</v>
      </c>
      <c r="S87" s="10">
        <f>wOTH*$V87 + wRTH*$W87</f>
        <v>0</v>
      </c>
      <c r="T87" s="10">
        <f>IF($L87&gt;0,$M87*$AF87,0)</f>
        <v>0</v>
      </c>
      <c r="U87" s="10">
        <f>IF($L87&gt;1,($L87-1)*$M87*$AF87,0)</f>
        <v>0</v>
      </c>
      <c r="V87" s="10">
        <f>IF($N87&gt;0,$O87*$AH87,0)</f>
        <v>0</v>
      </c>
      <c r="W87" s="10">
        <f>IF($N87&gt;1,($N87-1)*$O87*$AH87,0)</f>
        <v>0</v>
      </c>
      <c r="X87" s="12">
        <f>(wAPH1+wAPH2*IF($K87="Y",1,0)+wAPH3*$AJ87)*IF($AE87&gt;0,$M87/$AE87,0)</f>
        <v>0</v>
      </c>
      <c r="Y87" s="33">
        <f>wCMH*MIN($AI87,maxCMH)*IF($AE87&gt;0,$M87/$AE87,1)</f>
        <v>15</v>
      </c>
      <c r="Z87" s="12">
        <f>wCACH1*($T87+$V87) +((1-$AC87)*MIN(wCACH2*$AI87,maxCACH) + $AC87*MIN(wCACH3*$AI87,maxCACH))*IF($AE87&gt;0,$M87/$AE87,1)</f>
        <v>6.75</v>
      </c>
      <c r="AA87" s="12">
        <f>SUM($P87:$Z87)</f>
        <v>21.75</v>
      </c>
      <c r="AB87" s="10">
        <f>ROUND(AA87/172.5,1)</f>
        <v>0.1</v>
      </c>
      <c r="AC87" s="14">
        <f>IF(VLOOKUP($A87,Courses!$A$2:$P$268,7,FALSE)="Y",1,0)</f>
        <v>0</v>
      </c>
      <c r="AD87" s="14">
        <f>VLOOKUP($A87,Courses!$A$2:$P$268,8,FALSE)</f>
        <v>0</v>
      </c>
      <c r="AE87" s="14">
        <f>VLOOKUP($A87,Courses!$A$2:$P$268,9,FALSE)</f>
        <v>0</v>
      </c>
      <c r="AF87" s="14">
        <f>VLOOKUP($A87,Courses!$A$2:$P$268,10,FALSE)</f>
        <v>0</v>
      </c>
      <c r="AG87" s="14">
        <f>VLOOKUP($A87,Courses!$A$2:$P$268,11,FALSE)</f>
        <v>0</v>
      </c>
      <c r="AH87" s="15">
        <f>VLOOKUP($A87,Courses!$A$2:$P$268,12,FALSE)</f>
        <v>0</v>
      </c>
      <c r="AI87" s="15">
        <f>VLOOKUP($A87,Courses!$A$2:$P$268,13,FALSE)</f>
        <v>50</v>
      </c>
      <c r="AJ87" s="15">
        <f>VLOOKUP($A87,Courses!$A$2:$P$268,14,FALSE)</f>
        <v>0</v>
      </c>
      <c r="AK87" s="15">
        <f>VLOOKUP($A87,Courses!$A$2:$P$268,15,FALSE)</f>
        <v>0</v>
      </c>
      <c r="AL87" s="15">
        <f>VLOOKUP($A87,Courses!$A$2:$P$268,16,FALSE)</f>
        <v>0</v>
      </c>
    </row>
    <row r="88" spans="1:38">
      <c r="A88" s="13" t="str">
        <f>CONCATENATE(D88,H88)</f>
        <v>ECON7002S1</v>
      </c>
      <c r="B88" s="69" t="s">
        <v>139</v>
      </c>
      <c r="C88" s="70">
        <v>2018</v>
      </c>
      <c r="D88" s="52" t="s">
        <v>50</v>
      </c>
      <c r="E88" s="13" t="str">
        <f>IF(VLOOKUP($A88,Courses!$A$2:$F$268,3,FALSE)=0,"",VLOOKUP($A88,Courses!$A$2:$F$268,3,FALSE))</f>
        <v/>
      </c>
      <c r="F88" s="13" t="str">
        <f>IF(VLOOKUP($A88,Courses!$A$2:$F$268,4,FALSE)=0,"",VLOOKUP($A88,Courses!$A$2:$F$268,4,FALSE))</f>
        <v/>
      </c>
      <c r="G88" s="13" t="str">
        <f>VLOOKUP($A88,Courses!$A$2:$F$268,5,FALSE)</f>
        <v>Economics for Commerce</v>
      </c>
      <c r="H88" s="70" t="s">
        <v>253</v>
      </c>
      <c r="I88" s="21" t="s">
        <v>252</v>
      </c>
      <c r="J88" s="70" t="s">
        <v>252</v>
      </c>
      <c r="K88" s="70" t="s">
        <v>252</v>
      </c>
      <c r="L88" s="120">
        <v>1</v>
      </c>
      <c r="M88" s="71">
        <v>13</v>
      </c>
      <c r="N88" s="21"/>
      <c r="O88" s="21"/>
      <c r="P88" s="12">
        <f>IF($I88="Y",(wCCH1+wCCH2*$AJ88)*($AE88*$AF88)+(1-$AC88)*MIN(wCCH3*$AI88,maxCCH) + $AC88*MIN(wCCH4*$AI88,maxCCH),0)</f>
        <v>42.515000000000001</v>
      </c>
      <c r="Q88" s="12">
        <f>IF($J88="Y",(wTCH1+wTCH2*IF($K88="Y",1,0))*$AG88*$AH88+(1-$AC88)*MIN(wTCH3*$AI88,maxTCH) + $AC88*MIN(wTCH4*$AI88,maxTCH),0)</f>
        <v>31.633600000000001</v>
      </c>
      <c r="R88" s="10">
        <f>(wOLH1+wOLH2*IF($K88="Y",1,0)+wOLH3*$AD88)*$T88 + wRLH*$U88</f>
        <v>130</v>
      </c>
      <c r="S88" s="10">
        <f>wOTH*$V88 + wRTH*$W88</f>
        <v>0</v>
      </c>
      <c r="T88" s="10">
        <f>IF($L88&gt;0,$M88*$AF88,0)</f>
        <v>26</v>
      </c>
      <c r="U88" s="10">
        <f>IF($L88&gt;1,($L88-1)*$M88*$AF88,0)</f>
        <v>0</v>
      </c>
      <c r="V88" s="10">
        <f>IF($N88&gt;0,$O88*$AH88,0)</f>
        <v>0</v>
      </c>
      <c r="W88" s="10">
        <f>IF($N88&gt;1,($N88-1)*$O88*$AH88,0)</f>
        <v>0</v>
      </c>
      <c r="X88" s="12">
        <f>(wAPH1+wAPH2*IF($K88="Y",1,0)+wAPH3*$AJ88)*IF($AE88&gt;0,$M88/$AE88,0)</f>
        <v>70</v>
      </c>
      <c r="Y88" s="33">
        <f>wCMH*MIN($AI88,maxCMH)*IF($AE88&gt;0,$M88/$AE88,1)</f>
        <v>15</v>
      </c>
      <c r="Z88" s="12">
        <f>wCACH1*($T88+$V88) +((1-$AC88)*MIN(wCACH2*$AI88,maxCACH) + $AC88*MIN(wCACH3*$AI88,maxCACH))*IF($AE88&gt;0,$M88/$AE88,1)</f>
        <v>42.515000000000001</v>
      </c>
      <c r="AA88" s="12">
        <f>SUM($P88:$Z88)</f>
        <v>357.66359999999997</v>
      </c>
      <c r="AB88" s="10">
        <f>ROUND(AA88/172.5,1)</f>
        <v>2.1</v>
      </c>
      <c r="AC88" s="14">
        <f>IF(VLOOKUP($A88,Courses!$A$2:$P$268,7,FALSE)="Y",1,0)</f>
        <v>1</v>
      </c>
      <c r="AD88" s="14">
        <f>VLOOKUP($A88,Courses!$A$2:$P$268,8,FALSE)</f>
        <v>0</v>
      </c>
      <c r="AE88" s="14">
        <f>VLOOKUP($A88,Courses!$A$2:$P$268,9,FALSE)</f>
        <v>13</v>
      </c>
      <c r="AF88" s="14">
        <f>VLOOKUP($A88,Courses!$A$2:$P$268,10,FALSE)</f>
        <v>2</v>
      </c>
      <c r="AG88" s="14">
        <f>VLOOKUP($A88,Courses!$A$2:$P$268,11,FALSE)</f>
        <v>12</v>
      </c>
      <c r="AH88" s="15">
        <f>VLOOKUP($A88,Courses!$A$2:$P$268,12,FALSE)</f>
        <v>1</v>
      </c>
      <c r="AI88" s="15">
        <f>VLOOKUP($A88,Courses!$A$2:$P$268,13,FALSE)</f>
        <v>367</v>
      </c>
      <c r="AJ88" s="15">
        <f>VLOOKUP($A88,Courses!$A$2:$P$268,14,FALSE)</f>
        <v>0</v>
      </c>
      <c r="AK88" s="15">
        <f>VLOOKUP($A88,Courses!$A$2:$P$268,15,FALSE)</f>
        <v>0</v>
      </c>
      <c r="AL88" s="15">
        <f>VLOOKUP($A88,Courses!$A$2:$P$268,16,FALSE)</f>
        <v>10</v>
      </c>
    </row>
    <row r="89" spans="1:38">
      <c r="A89" s="13" t="str">
        <f>CONCATENATE(D89,H89)</f>
        <v>ECON7002S2</v>
      </c>
      <c r="B89" s="57" t="s">
        <v>807</v>
      </c>
      <c r="D89" s="52" t="s">
        <v>50</v>
      </c>
      <c r="E89" s="13" t="str">
        <f>IF(VLOOKUP($A89,Courses!$A$2:$F$268,3,FALSE)=0,"",VLOOKUP($A89,Courses!$A$2:$F$268,3,FALSE))</f>
        <v/>
      </c>
      <c r="F89" s="13" t="str">
        <f>IF(VLOOKUP($A89,Courses!$A$2:$F$268,4,FALSE)=0,"",VLOOKUP($A89,Courses!$A$2:$F$268,4,FALSE))</f>
        <v/>
      </c>
      <c r="G89" s="13" t="str">
        <f>VLOOKUP($A89,Courses!$A$2:$F$268,5,FALSE)</f>
        <v>Economics for Commerce</v>
      </c>
      <c r="H89" s="70" t="s">
        <v>254</v>
      </c>
      <c r="I89" s="21" t="s">
        <v>252</v>
      </c>
      <c r="J89" s="70" t="s">
        <v>252</v>
      </c>
      <c r="K89" s="70" t="s">
        <v>252</v>
      </c>
      <c r="L89" s="70">
        <v>1</v>
      </c>
      <c r="M89" s="71">
        <v>13</v>
      </c>
      <c r="N89" s="21"/>
      <c r="P89" s="12">
        <f>IF($I89="Y",(wCCH1+wCCH2*$AJ89)*($AE89*$AF89)+(1-$AC89)*MIN(wCCH3*$AI89,maxCCH) + $AC89*MIN(wCCH4*$AI89,maxCCH),0)</f>
        <v>41.704999999999998</v>
      </c>
      <c r="Q89" s="12">
        <f>IF($J89="Y",(wTCH1+wTCH2*IF($K89="Y",1,0))*$AG89*$AH89+(1-$AC89)*MIN(wTCH3*$AI89,maxTCH) + $AC89*MIN(wTCH4*$AI89,maxTCH),0)</f>
        <v>31.2592</v>
      </c>
      <c r="R89" s="10">
        <f>(wOLH1+wOLH2*IF($K89="Y",1,0)+wOLH3*$AD89)*$T89 + wRLH*$U89</f>
        <v>130</v>
      </c>
      <c r="S89" s="10">
        <f>wOTH*$V89 + wRTH*$W89</f>
        <v>0</v>
      </c>
      <c r="T89" s="10">
        <f>IF($L89&gt;0,$M89*$AF89,0)</f>
        <v>26</v>
      </c>
      <c r="U89" s="10">
        <f>IF($L89&gt;1,($L89-1)*$M89*$AF89,0)</f>
        <v>0</v>
      </c>
      <c r="V89" s="10">
        <f>IF($N89&gt;0,$O89*$AH89,0)</f>
        <v>0</v>
      </c>
      <c r="W89" s="10">
        <f>IF($N89&gt;1,($N89-1)*$O89*$AH89,0)</f>
        <v>0</v>
      </c>
      <c r="X89" s="12">
        <f>(wAPH1+wAPH2*IF($K89="Y",1,0)+wAPH3*$AJ89)*IF($AE89&gt;0,$M89/$AE89,0)</f>
        <v>70</v>
      </c>
      <c r="Y89" s="33">
        <f>wCMH*MIN($AI89,maxCMH)*IF($AE89&gt;0,$M89/$AE89,1)</f>
        <v>15</v>
      </c>
      <c r="Z89" s="12">
        <f>wCACH1*($T89+$V89) +((1-$AC89)*MIN(wCACH2*$AI89,maxCACH) + $AC89*MIN(wCACH3*$AI89,maxCACH))*IF($AE89&gt;0,$M89/$AE89,1)</f>
        <v>41.704999999999998</v>
      </c>
      <c r="AA89" s="12">
        <f>SUM($P89:$Z89)</f>
        <v>355.66919999999999</v>
      </c>
      <c r="AB89" s="10">
        <f>ROUND(AA89/172.5,1)</f>
        <v>2.1</v>
      </c>
      <c r="AC89" s="14">
        <f>IF(VLOOKUP($A89,Courses!$A$2:$P$268,7,FALSE)="Y",1,0)</f>
        <v>1</v>
      </c>
      <c r="AD89" s="14">
        <f>VLOOKUP($A89,Courses!$A$2:$P$268,8,FALSE)</f>
        <v>0</v>
      </c>
      <c r="AE89" s="14">
        <f>VLOOKUP($A89,Courses!$A$2:$P$268,9,FALSE)</f>
        <v>13</v>
      </c>
      <c r="AF89" s="14">
        <f>VLOOKUP($A89,Courses!$A$2:$P$268,10,FALSE)</f>
        <v>2</v>
      </c>
      <c r="AG89" s="14">
        <f>VLOOKUP($A89,Courses!$A$2:$P$268,11,FALSE)</f>
        <v>12</v>
      </c>
      <c r="AH89" s="15">
        <f>VLOOKUP($A89,Courses!$A$2:$P$268,12,FALSE)</f>
        <v>1</v>
      </c>
      <c r="AI89" s="15">
        <f>VLOOKUP($A89,Courses!$A$2:$P$268,13,FALSE)</f>
        <v>349</v>
      </c>
      <c r="AJ89" s="15">
        <f>VLOOKUP($A89,Courses!$A$2:$P$268,14,FALSE)</f>
        <v>0</v>
      </c>
      <c r="AK89" s="15">
        <f>VLOOKUP($A89,Courses!$A$2:$P$268,15,FALSE)</f>
        <v>0</v>
      </c>
      <c r="AL89" s="15">
        <f>VLOOKUP($A89,Courses!$A$2:$P$268,16,FALSE)</f>
        <v>9</v>
      </c>
    </row>
    <row r="90" spans="1:38">
      <c r="A90" s="13" t="str">
        <f>CONCATENATE(D90,H90)</f>
        <v>ECON7012S1</v>
      </c>
      <c r="B90" s="57" t="s">
        <v>811</v>
      </c>
      <c r="C90" s="70">
        <v>2020</v>
      </c>
      <c r="D90" s="52" t="s">
        <v>106</v>
      </c>
      <c r="E90" s="13" t="str">
        <f>IF(VLOOKUP($A90,Courses!$A$2:$F$268,3,FALSE)=0,"",VLOOKUP($A90,Courses!$A$2:$F$268,3,FALSE))</f>
        <v/>
      </c>
      <c r="F90" s="13" t="str">
        <f>IF(VLOOKUP($A90,Courses!$A$2:$F$268,4,FALSE)=0,"",VLOOKUP($A90,Courses!$A$2:$F$268,4,FALSE))</f>
        <v/>
      </c>
      <c r="G90" s="13" t="str">
        <f>VLOOKUP($A90,Courses!$A$2:$F$268,5,FALSE)</f>
        <v>Business Economics</v>
      </c>
      <c r="H90" s="70" t="s">
        <v>253</v>
      </c>
      <c r="I90" s="21" t="s">
        <v>252</v>
      </c>
      <c r="J90" s="70" t="s">
        <v>252</v>
      </c>
      <c r="L90" s="120">
        <v>1</v>
      </c>
      <c r="M90" s="71">
        <v>13</v>
      </c>
      <c r="N90" s="21"/>
      <c r="O90" s="21"/>
      <c r="P90" s="12">
        <f>IF($I90="Y",(wCCH1+wCCH2*$AJ90)*($AE90*$AF90)+(1-$AC90)*MIN(wCCH3*$AI90,maxCCH) + $AC90*MIN(wCCH4*$AI90,maxCCH),0)</f>
        <v>34.234999999999999</v>
      </c>
      <c r="Q90" s="12">
        <f>IF($J90="Y",(wTCH1+wTCH2*IF($K90="Y",1,0))*$AG90*$AH90+(1-$AC90)*MIN(wTCH3*$AI90,maxTCH) + $AC90*MIN(wTCH4*$AI90,maxTCH),0)</f>
        <v>15.8125</v>
      </c>
      <c r="R90" s="10">
        <f>(wOLH1+wOLH2*IF($K90="Y",1,0)+wOLH3*$AD90)*$T90 + wRLH*$U90</f>
        <v>78</v>
      </c>
      <c r="S90" s="10">
        <f>wOTH*$V90 + wRTH*$W90</f>
        <v>0</v>
      </c>
      <c r="T90" s="10">
        <f>IF($L90&gt;0,$M90*$AF90,0)</f>
        <v>26</v>
      </c>
      <c r="U90" s="10">
        <f>IF($L90&gt;1,($L90-1)*$M90*$AF90,0)</f>
        <v>0</v>
      </c>
      <c r="V90" s="10">
        <f>IF($N90&gt;0,$O90*$AH90,0)</f>
        <v>0</v>
      </c>
      <c r="W90" s="10">
        <f>IF($N90&gt;1,($N90-1)*$O90*$AH90,0)</f>
        <v>0</v>
      </c>
      <c r="X90" s="12">
        <f>(wAPH1+wAPH2*IF($K90="Y",1,0)+wAPH3*$AJ90)*IF($AE90&gt;0,$M90/$AE90,0)</f>
        <v>50</v>
      </c>
      <c r="Y90" s="33">
        <f>wCMH*MIN($AI90,maxCMH)*IF($AE90&gt;0,$M90/$AE90,1)</f>
        <v>15</v>
      </c>
      <c r="Z90" s="12">
        <f>wCACH1*($T90+$V90) +((1-$AC90)*MIN(wCACH2*$AI90,maxCACH) + $AC90*MIN(wCACH3*$AI90,maxCACH))*IF($AE90&gt;0,$M90/$AE90,1)</f>
        <v>34.234999999999999</v>
      </c>
      <c r="AA90" s="12">
        <f>SUM($P90:$Z90)</f>
        <v>253.28250000000003</v>
      </c>
      <c r="AB90" s="10">
        <f>ROUND(AA90/172.5,1)</f>
        <v>1.5</v>
      </c>
      <c r="AC90" s="14">
        <f>IF(VLOOKUP($A90,Courses!$A$2:$P$268,7,FALSE)="Y",1,0)</f>
        <v>0</v>
      </c>
      <c r="AD90" s="14">
        <f>VLOOKUP($A90,Courses!$A$2:$P$268,8,FALSE)</f>
        <v>0</v>
      </c>
      <c r="AE90" s="14">
        <f>VLOOKUP($A90,Courses!$A$2:$P$268,9,FALSE)</f>
        <v>13</v>
      </c>
      <c r="AF90" s="14">
        <f>VLOOKUP($A90,Courses!$A$2:$P$268,10,FALSE)</f>
        <v>2</v>
      </c>
      <c r="AG90" s="14">
        <f>VLOOKUP($A90,Courses!$A$2:$P$268,11,FALSE)</f>
        <v>12</v>
      </c>
      <c r="AH90" s="15">
        <f>VLOOKUP($A90,Courses!$A$2:$P$268,12,FALSE)</f>
        <v>1</v>
      </c>
      <c r="AI90" s="15">
        <f>VLOOKUP($A90,Courses!$A$2:$P$268,13,FALSE)</f>
        <v>61</v>
      </c>
      <c r="AJ90" s="15">
        <f>VLOOKUP($A90,Courses!$A$2:$P$268,14,FALSE)</f>
        <v>0</v>
      </c>
      <c r="AK90" s="15">
        <f>VLOOKUP($A90,Courses!$A$2:$P$268,15,FALSE)</f>
        <v>0</v>
      </c>
      <c r="AL90" s="15">
        <f>VLOOKUP($A90,Courses!$A$2:$P$268,16,FALSE)</f>
        <v>2</v>
      </c>
    </row>
    <row r="91" spans="1:38">
      <c r="A91" s="13" t="str">
        <f>CONCATENATE(D91,H91)</f>
        <v>ECON7012TP4</v>
      </c>
      <c r="B91" s="57" t="s">
        <v>142</v>
      </c>
      <c r="C91" s="70">
        <v>2020</v>
      </c>
      <c r="D91" s="52" t="s">
        <v>106</v>
      </c>
      <c r="E91" s="13" t="str">
        <f>IF(VLOOKUP($A91,Courses!$A$2:$F$268,3,FALSE)=0,"",VLOOKUP($A91,Courses!$A$2:$F$268,3,FALSE))</f>
        <v/>
      </c>
      <c r="F91" s="13" t="str">
        <f>IF(VLOOKUP($A91,Courses!$A$2:$F$268,4,FALSE)=0,"",VLOOKUP($A91,Courses!$A$2:$F$268,4,FALSE))</f>
        <v/>
      </c>
      <c r="G91" s="13" t="str">
        <f>VLOOKUP($A91,Courses!$A$2:$F$268,5,FALSE)</f>
        <v>Business Economics</v>
      </c>
      <c r="H91" s="70" t="s">
        <v>202</v>
      </c>
      <c r="I91" s="21" t="s">
        <v>252</v>
      </c>
      <c r="J91" s="70" t="s">
        <v>252</v>
      </c>
      <c r="L91" s="120">
        <v>1</v>
      </c>
      <c r="M91" s="71">
        <v>13</v>
      </c>
      <c r="N91" s="21"/>
      <c r="O91" s="21"/>
      <c r="P91" s="12">
        <f>IF($I91="Y",(wCCH1+wCCH2*$AJ91)*($AE91*$AF91)+(1-$AC91)*MIN(wCCH3*$AI91,maxCCH) + $AC91*MIN(wCCH4*$AI91,maxCCH),0)</f>
        <v>30.32</v>
      </c>
      <c r="Q91" s="12">
        <f>IF($J91="Y",(wTCH1+wTCH2*IF($K91="Y",1,0))*$AG91*$AH91+(1-$AC91)*MIN(wTCH3*$AI91,maxTCH) + $AC91*MIN(wTCH4*$AI91,maxTCH),0)</f>
        <v>14</v>
      </c>
      <c r="R91" s="10">
        <f>(wOLH1+wOLH2*IF($K91="Y",1,0)+wOLH3*$AD91)*$T91 + wRLH*$U91</f>
        <v>78</v>
      </c>
      <c r="S91" s="10">
        <f>wOTH*$V91 + wRTH*$W91</f>
        <v>0</v>
      </c>
      <c r="T91" s="10">
        <f>IF($L91&gt;0,$M91*$AF91,0)</f>
        <v>26</v>
      </c>
      <c r="U91" s="10">
        <f>IF($L91&gt;1,($L91-1)*$M91*$AF91,0)</f>
        <v>0</v>
      </c>
      <c r="V91" s="10">
        <f>IF($N91&gt;0,$O91*$AH91,0)</f>
        <v>0</v>
      </c>
      <c r="W91" s="10">
        <f>IF($N91&gt;1,($N91-1)*$O91*$AH91,0)</f>
        <v>0</v>
      </c>
      <c r="X91" s="12">
        <f>(wAPH1+wAPH2*IF($K91="Y",1,0)+wAPH3*$AJ91)*IF($AE91&gt;0,$M91/$AE91,0)</f>
        <v>50</v>
      </c>
      <c r="Y91" s="33">
        <f>wCMH*MIN($AI91,maxCMH)*IF($AE91&gt;0,$M91/$AE91,1)</f>
        <v>15</v>
      </c>
      <c r="Z91" s="12">
        <f>wCACH1*($T91+$V91) +((1-$AC91)*MIN(wCACH2*$AI91,maxCACH) + $AC91*MIN(wCACH3*$AI91,maxCACH))*IF($AE91&gt;0,$M91/$AE91,1)</f>
        <v>30.32</v>
      </c>
      <c r="AA91" s="12">
        <f>SUM($P91:$Z91)</f>
        <v>243.64</v>
      </c>
      <c r="AB91" s="10">
        <f>ROUND(AA91/172.5,1)</f>
        <v>1.4</v>
      </c>
      <c r="AC91" s="14">
        <f>IF(VLOOKUP($A91,Courses!$A$2:$P$268,7,FALSE)="Y",1,0)</f>
        <v>0</v>
      </c>
      <c r="AD91" s="14">
        <f>VLOOKUP($A91,Courses!$A$2:$P$268,8,FALSE)</f>
        <v>0</v>
      </c>
      <c r="AE91" s="14">
        <f>VLOOKUP($A91,Courses!$A$2:$P$268,9,FALSE)</f>
        <v>13</v>
      </c>
      <c r="AF91" s="14">
        <f>VLOOKUP($A91,Courses!$A$2:$P$268,10,FALSE)</f>
        <v>2</v>
      </c>
      <c r="AG91" s="14">
        <f>VLOOKUP($A91,Courses!$A$2:$P$268,11,FALSE)</f>
        <v>12</v>
      </c>
      <c r="AH91" s="15">
        <f>VLOOKUP($A91,Courses!$A$2:$P$268,12,FALSE)</f>
        <v>1</v>
      </c>
      <c r="AI91" s="15">
        <f>VLOOKUP($A91,Courses!$A$2:$P$268,13,FALSE)</f>
        <v>32</v>
      </c>
      <c r="AJ91" s="15">
        <f>VLOOKUP($A91,Courses!$A$2:$P$268,14,FALSE)</f>
        <v>0</v>
      </c>
      <c r="AK91" s="15">
        <f>VLOOKUP($A91,Courses!$A$2:$P$268,15,FALSE)</f>
        <v>0</v>
      </c>
      <c r="AL91" s="15">
        <f>VLOOKUP($A91,Courses!$A$2:$P$268,16,FALSE)</f>
        <v>1</v>
      </c>
    </row>
    <row r="92" spans="1:38">
      <c r="A92" s="13" t="str">
        <f>CONCATENATE(D92,H92)</f>
        <v>ECON7012TP5</v>
      </c>
      <c r="B92" s="57" t="s">
        <v>807</v>
      </c>
      <c r="D92" s="52" t="s">
        <v>106</v>
      </c>
      <c r="E92" s="13" t="str">
        <f>IF(VLOOKUP($A92,Courses!$A$2:$F$268,3,FALSE)=0,"",VLOOKUP($A92,Courses!$A$2:$F$268,3,FALSE))</f>
        <v/>
      </c>
      <c r="F92" s="13" t="str">
        <f>IF(VLOOKUP($A92,Courses!$A$2:$F$268,4,FALSE)=0,"",VLOOKUP($A92,Courses!$A$2:$F$268,4,FALSE))</f>
        <v/>
      </c>
      <c r="G92" s="13" t="str">
        <f>VLOOKUP($A92,Courses!$A$2:$F$268,5,FALSE)</f>
        <v>Business Economics</v>
      </c>
      <c r="H92" s="70" t="s">
        <v>554</v>
      </c>
      <c r="I92" s="21" t="s">
        <v>252</v>
      </c>
      <c r="J92" s="70" t="s">
        <v>252</v>
      </c>
      <c r="L92" s="70">
        <v>1</v>
      </c>
      <c r="M92" s="71">
        <v>13</v>
      </c>
      <c r="N92" s="21"/>
      <c r="P92" s="12">
        <f>IF($I92="Y",(wCCH1+wCCH2*$AJ92)*($AE92*$AF92)+(1-$AC92)*MIN(wCCH3*$AI92,maxCCH) + $AC92*MIN(wCCH4*$AI92,maxCCH),0)</f>
        <v>30.185000000000002</v>
      </c>
      <c r="Q92" s="12">
        <f>IF($J92="Y",(wTCH1+wTCH2*IF($K92="Y",1,0))*$AG92*$AH92+(1-$AC92)*MIN(wTCH3*$AI92,maxTCH) + $AC92*MIN(wTCH4*$AI92,maxTCH),0)</f>
        <v>13.9375</v>
      </c>
      <c r="R92" s="10">
        <f>(wOLH1+wOLH2*IF($K92="Y",1,0)+wOLH3*$AD92)*$T92 + wRLH*$U92</f>
        <v>78</v>
      </c>
      <c r="S92" s="10">
        <f>wOTH*$V92 + wRTH*$W92</f>
        <v>0</v>
      </c>
      <c r="T92" s="10">
        <f>IF($L92&gt;0,$M92*$AF92,0)</f>
        <v>26</v>
      </c>
      <c r="U92" s="10">
        <f>IF($L92&gt;1,($L92-1)*$M92*$AF92,0)</f>
        <v>0</v>
      </c>
      <c r="V92" s="10">
        <f>IF($N92&gt;0,$O92*$AH92,0)</f>
        <v>0</v>
      </c>
      <c r="W92" s="10">
        <f>IF($N92&gt;1,($N92-1)*$O92*$AH92,0)</f>
        <v>0</v>
      </c>
      <c r="X92" s="12">
        <f>(wAPH1+wAPH2*IF($K92="Y",1,0)+wAPH3*$AJ92)*IF($AE92&gt;0,$M92/$AE92,0)</f>
        <v>50</v>
      </c>
      <c r="Y92" s="33">
        <f>wCMH*MIN($AI92,maxCMH)*IF($AE92&gt;0,$M92/$AE92,1)</f>
        <v>15</v>
      </c>
      <c r="Z92" s="12">
        <f>wCACH1*($T92+$V92) +((1-$AC92)*MIN(wCACH2*$AI92,maxCACH) + $AC92*MIN(wCACH3*$AI92,maxCACH))*IF($AE92&gt;0,$M92/$AE92,1)</f>
        <v>30.185000000000002</v>
      </c>
      <c r="AA92" s="12">
        <f>SUM($P92:$Z92)</f>
        <v>243.3075</v>
      </c>
      <c r="AB92" s="10">
        <f>ROUND(AA92/172.5,1)</f>
        <v>1.4</v>
      </c>
      <c r="AC92" s="14">
        <f>IF(VLOOKUP($A92,Courses!$A$2:$P$268,7,FALSE)="Y",1,0)</f>
        <v>0</v>
      </c>
      <c r="AD92" s="14">
        <f>VLOOKUP($A92,Courses!$A$2:$P$268,8,FALSE)</f>
        <v>0</v>
      </c>
      <c r="AE92" s="14">
        <f>VLOOKUP($A92,Courses!$A$2:$P$268,9,FALSE)</f>
        <v>13</v>
      </c>
      <c r="AF92" s="14">
        <f>VLOOKUP($A92,Courses!$A$2:$P$268,10,FALSE)</f>
        <v>2</v>
      </c>
      <c r="AG92" s="14">
        <f>VLOOKUP($A92,Courses!$A$2:$P$268,11,FALSE)</f>
        <v>12</v>
      </c>
      <c r="AH92" s="15">
        <f>VLOOKUP($A92,Courses!$A$2:$P$268,12,FALSE)</f>
        <v>1</v>
      </c>
      <c r="AI92" s="15">
        <f>VLOOKUP($A92,Courses!$A$2:$P$268,13,FALSE)</f>
        <v>31</v>
      </c>
      <c r="AJ92" s="15">
        <f>VLOOKUP($A92,Courses!$A$2:$P$268,14,FALSE)</f>
        <v>0</v>
      </c>
      <c r="AK92" s="15">
        <f>VLOOKUP($A92,Courses!$A$2:$P$268,15,FALSE)</f>
        <v>0</v>
      </c>
      <c r="AL92" s="15">
        <f>VLOOKUP($A92,Courses!$A$2:$P$268,16,FALSE)</f>
        <v>1</v>
      </c>
    </row>
    <row r="93" spans="1:38">
      <c r="A93" s="13" t="str">
        <f>CONCATENATE(D93,H93)</f>
        <v>ECON7012TP6</v>
      </c>
      <c r="B93" s="57" t="s">
        <v>807</v>
      </c>
      <c r="D93" s="52" t="s">
        <v>106</v>
      </c>
      <c r="E93" s="13" t="str">
        <f>IF(VLOOKUP($A93,Courses!$A$2:$F$268,3,FALSE)=0,"",VLOOKUP($A93,Courses!$A$2:$F$268,3,FALSE))</f>
        <v/>
      </c>
      <c r="F93" s="13" t="str">
        <f>IF(VLOOKUP($A93,Courses!$A$2:$F$268,4,FALSE)=0,"",VLOOKUP($A93,Courses!$A$2:$F$268,4,FALSE))</f>
        <v/>
      </c>
      <c r="G93" s="13" t="str">
        <f>VLOOKUP($A93,Courses!$A$2:$F$268,5,FALSE)</f>
        <v>Business Economics</v>
      </c>
      <c r="H93" s="70" t="s">
        <v>203</v>
      </c>
      <c r="I93" s="21" t="s">
        <v>252</v>
      </c>
      <c r="J93" s="70" t="s">
        <v>252</v>
      </c>
      <c r="L93" s="70">
        <v>1</v>
      </c>
      <c r="M93" s="71">
        <v>13</v>
      </c>
      <c r="N93" s="21"/>
      <c r="P93" s="12">
        <f>IF($I93="Y",(wCCH1+wCCH2*$AJ93)*($AE93*$AF93)+(1-$AC93)*MIN(wCCH3*$AI93,maxCCH) + $AC93*MIN(wCCH4*$AI93,maxCCH),0)</f>
        <v>31.94</v>
      </c>
      <c r="Q93" s="12">
        <f>IF($J93="Y",(wTCH1+wTCH2*IF($K93="Y",1,0))*$AG93*$AH93+(1-$AC93)*MIN(wTCH3*$AI93,maxTCH) + $AC93*MIN(wTCH4*$AI93,maxTCH),0)</f>
        <v>14.75</v>
      </c>
      <c r="R93" s="10">
        <f>(wOLH1+wOLH2*IF($K93="Y",1,0)+wOLH3*$AD93)*$T93 + wRLH*$U93</f>
        <v>78</v>
      </c>
      <c r="S93" s="10">
        <f>wOTH*$V93 + wRTH*$W93</f>
        <v>0</v>
      </c>
      <c r="T93" s="10">
        <f>IF($L93&gt;0,$M93*$AF93,0)</f>
        <v>26</v>
      </c>
      <c r="U93" s="10">
        <f>IF($L93&gt;1,($L93-1)*$M93*$AF93,0)</f>
        <v>0</v>
      </c>
      <c r="V93" s="10">
        <f>IF($N93&gt;0,$O93*$AH93,0)</f>
        <v>0</v>
      </c>
      <c r="W93" s="10">
        <f>IF($N93&gt;1,($N93-1)*$O93*$AH93,0)</f>
        <v>0</v>
      </c>
      <c r="X93" s="12">
        <f>(wAPH1+wAPH2*IF($K93="Y",1,0)+wAPH3*$AJ93)*IF($AE93&gt;0,$M93/$AE93,0)</f>
        <v>50</v>
      </c>
      <c r="Y93" s="33">
        <f>wCMH*MIN($AI93,maxCMH)*IF($AE93&gt;0,$M93/$AE93,1)</f>
        <v>15</v>
      </c>
      <c r="Z93" s="12">
        <f>wCACH1*($T93+$V93) +((1-$AC93)*MIN(wCACH2*$AI93,maxCACH) + $AC93*MIN(wCACH3*$AI93,maxCACH))*IF($AE93&gt;0,$M93/$AE93,1)</f>
        <v>31.94</v>
      </c>
      <c r="AA93" s="12">
        <f>SUM($P93:$Z93)</f>
        <v>247.63</v>
      </c>
      <c r="AB93" s="10">
        <f>ROUND(AA93/172.5,1)</f>
        <v>1.4</v>
      </c>
      <c r="AC93" s="14">
        <f>IF(VLOOKUP($A93,Courses!$A$2:$P$268,7,FALSE)="Y",1,0)</f>
        <v>0</v>
      </c>
      <c r="AD93" s="14">
        <f>VLOOKUP($A93,Courses!$A$2:$P$268,8,FALSE)</f>
        <v>0</v>
      </c>
      <c r="AE93" s="14">
        <f>VLOOKUP($A93,Courses!$A$2:$P$268,9,FALSE)</f>
        <v>13</v>
      </c>
      <c r="AF93" s="14">
        <f>VLOOKUP($A93,Courses!$A$2:$P$268,10,FALSE)</f>
        <v>2</v>
      </c>
      <c r="AG93" s="14">
        <f>VLOOKUP($A93,Courses!$A$2:$P$268,11,FALSE)</f>
        <v>12</v>
      </c>
      <c r="AH93" s="15">
        <f>VLOOKUP($A93,Courses!$A$2:$P$268,12,FALSE)</f>
        <v>1</v>
      </c>
      <c r="AI93" s="15">
        <f>VLOOKUP($A93,Courses!$A$2:$P$268,13,FALSE)</f>
        <v>44</v>
      </c>
      <c r="AJ93" s="15">
        <f>VLOOKUP($A93,Courses!$A$2:$P$268,14,FALSE)</f>
        <v>0</v>
      </c>
      <c r="AK93" s="15">
        <f>VLOOKUP($A93,Courses!$A$2:$P$268,15,FALSE)</f>
        <v>0</v>
      </c>
      <c r="AL93" s="15">
        <f>VLOOKUP($A93,Courses!$A$2:$P$268,16,FALSE)</f>
        <v>2</v>
      </c>
    </row>
    <row r="94" spans="1:38">
      <c r="A94" s="13" t="str">
        <f>CONCATENATE(D94,H94)</f>
        <v>ECON7021S1</v>
      </c>
      <c r="B94" s="69" t="s">
        <v>144</v>
      </c>
      <c r="D94" s="52" t="s">
        <v>151</v>
      </c>
      <c r="E94" s="13" t="str">
        <f>IF(VLOOKUP($A94,Courses!$A$2:$F$268,3,FALSE)=0,"",VLOOKUP($A94,Courses!$A$2:$F$268,3,FALSE))</f>
        <v/>
      </c>
      <c r="F94" s="13" t="str">
        <f>IF(VLOOKUP($A94,Courses!$A$2:$F$268,4,FALSE)=0,"",VLOOKUP($A94,Courses!$A$2:$F$268,4,FALSE))</f>
        <v/>
      </c>
      <c r="G94" s="13" t="str">
        <f>VLOOKUP($A94,Courses!$A$2:$F$268,5,FALSE)</f>
        <v>The Macroeconomy</v>
      </c>
      <c r="H94" s="70" t="s">
        <v>253</v>
      </c>
      <c r="I94" s="21" t="s">
        <v>252</v>
      </c>
      <c r="J94" s="70" t="s">
        <v>252</v>
      </c>
      <c r="K94" s="70" t="s">
        <v>252</v>
      </c>
      <c r="L94" s="120">
        <v>1</v>
      </c>
      <c r="M94" s="71">
        <v>13</v>
      </c>
      <c r="N94" s="21"/>
      <c r="O94" s="21"/>
      <c r="P94" s="12">
        <f>IF($I94="Y",(wCCH1+wCCH2*$AJ94)*($AE94*$AF94)+(1-$AC94)*MIN(wCCH3*$AI94,maxCCH) + $AC94*MIN(wCCH4*$AI94,maxCCH),0)</f>
        <v>43.01</v>
      </c>
      <c r="Q94" s="12">
        <f>IF($J94="Y",(wTCH1+wTCH2*IF($K94="Y",1,0))*$AG94*$AH94+(1-$AC94)*MIN(wTCH3*$AI94,maxTCH) + $AC94*MIN(wTCH4*$AI94,maxTCH),0)</f>
        <v>31.862400000000001</v>
      </c>
      <c r="R94" s="10">
        <f>(wOLH1+wOLH2*IF($K94="Y",1,0)+wOLH3*$AD94)*$T94 + wRLH*$U94</f>
        <v>130</v>
      </c>
      <c r="S94" s="10">
        <f>wOTH*$V94 + wRTH*$W94</f>
        <v>0</v>
      </c>
      <c r="T94" s="10">
        <f>IF($L94&gt;0,$M94*$AF94,0)</f>
        <v>26</v>
      </c>
      <c r="U94" s="10">
        <f>IF($L94&gt;1,($L94-1)*$M94*$AF94,0)</f>
        <v>0</v>
      </c>
      <c r="V94" s="10">
        <f>IF($N94&gt;0,$O94*$AH94,0)</f>
        <v>0</v>
      </c>
      <c r="W94" s="10">
        <f>IF($N94&gt;1,($N94-1)*$O94*$AH94,0)</f>
        <v>0</v>
      </c>
      <c r="X94" s="12">
        <f>(wAPH1+wAPH2*IF($K94="Y",1,0)+wAPH3*$AJ94)*IF($AE94&gt;0,$M94/$AE94,0)</f>
        <v>70</v>
      </c>
      <c r="Y94" s="33">
        <f>wCMH*MIN($AI94,maxCMH)*IF($AE94&gt;0,$M94/$AE94,1)</f>
        <v>15</v>
      </c>
      <c r="Z94" s="12">
        <f>wCACH1*($T94+$V94) +((1-$AC94)*MIN(wCACH2*$AI94,maxCACH) + $AC94*MIN(wCACH3*$AI94,maxCACH))*IF($AE94&gt;0,$M94/$AE94,1)</f>
        <v>43.01</v>
      </c>
      <c r="AA94" s="12">
        <f>SUM($P94:$Z94)</f>
        <v>358.88239999999996</v>
      </c>
      <c r="AB94" s="10">
        <f>ROUND(AA94/172.5,1)</f>
        <v>2.1</v>
      </c>
      <c r="AC94" s="14">
        <f>IF(VLOOKUP($A94,Courses!$A$2:$P$268,7,FALSE)="Y",1,0)</f>
        <v>1</v>
      </c>
      <c r="AD94" s="14">
        <f>VLOOKUP($A94,Courses!$A$2:$P$268,8,FALSE)</f>
        <v>0</v>
      </c>
      <c r="AE94" s="14">
        <f>VLOOKUP($A94,Courses!$A$2:$P$268,9,FALSE)</f>
        <v>13</v>
      </c>
      <c r="AF94" s="14">
        <f>VLOOKUP($A94,Courses!$A$2:$P$268,10,FALSE)</f>
        <v>2</v>
      </c>
      <c r="AG94" s="14">
        <f>VLOOKUP($A94,Courses!$A$2:$P$268,11,FALSE)</f>
        <v>12</v>
      </c>
      <c r="AH94" s="15">
        <f>VLOOKUP($A94,Courses!$A$2:$P$268,12,FALSE)</f>
        <v>1</v>
      </c>
      <c r="AI94" s="15">
        <f>VLOOKUP($A94,Courses!$A$2:$P$268,13,FALSE)</f>
        <v>378</v>
      </c>
      <c r="AJ94" s="15">
        <f>VLOOKUP($A94,Courses!$A$2:$P$268,14,FALSE)</f>
        <v>0</v>
      </c>
      <c r="AK94" s="15">
        <f>VLOOKUP($A94,Courses!$A$2:$P$268,15,FALSE)</f>
        <v>0</v>
      </c>
      <c r="AL94" s="15">
        <f>VLOOKUP($A94,Courses!$A$2:$P$268,16,FALSE)</f>
        <v>10</v>
      </c>
    </row>
    <row r="95" spans="1:38">
      <c r="A95" s="13" t="str">
        <f>CONCATENATE(D95,H95)</f>
        <v>ECON7021S2</v>
      </c>
      <c r="B95" s="57" t="s">
        <v>807</v>
      </c>
      <c r="D95" s="52" t="s">
        <v>151</v>
      </c>
      <c r="E95" s="13" t="str">
        <f>IF(VLOOKUP($A95,Courses!$A$2:$F$268,3,FALSE)=0,"",VLOOKUP($A95,Courses!$A$2:$F$268,3,FALSE))</f>
        <v/>
      </c>
      <c r="F95" s="13" t="str">
        <f>IF(VLOOKUP($A95,Courses!$A$2:$F$268,4,FALSE)=0,"",VLOOKUP($A95,Courses!$A$2:$F$268,4,FALSE))</f>
        <v/>
      </c>
      <c r="G95" s="13" t="str">
        <f>VLOOKUP($A95,Courses!$A$2:$F$268,5,FALSE)</f>
        <v>The Macroeconomy</v>
      </c>
      <c r="H95" s="70" t="s">
        <v>254</v>
      </c>
      <c r="I95" s="21" t="s">
        <v>252</v>
      </c>
      <c r="J95" s="70" t="s">
        <v>252</v>
      </c>
      <c r="K95" s="70" t="s">
        <v>252</v>
      </c>
      <c r="L95" s="70">
        <v>1</v>
      </c>
      <c r="M95" s="71">
        <v>13</v>
      </c>
      <c r="N95" s="21"/>
      <c r="P95" s="79">
        <f>IF($I95="Y",(wCCH1+wCCH2*$AJ95)*($AE95*$AF95)+(1-$AC95)*MIN(wCCH3*$AI95,maxCCH) + $AC95*MIN(wCCH4*$AI95,maxCCH),0)</f>
        <v>49.58</v>
      </c>
      <c r="Q95" s="12">
        <f>IF($J95="Y",(wTCH1+wTCH2*IF($K95="Y",1,0))*$AG95*$AH95+(1-$AC95)*MIN(wTCH3*$AI95,maxTCH) + $AC95*MIN(wTCH4*$AI95,maxTCH),0)</f>
        <v>34.8992</v>
      </c>
      <c r="R95" s="10">
        <f>(wOLH1+wOLH2*IF($K95="Y",1,0)+wOLH3*$AD95)*$T95 + wRLH*$U95</f>
        <v>130</v>
      </c>
      <c r="S95" s="10">
        <f>wOTH*$V95 + wRTH*$W95</f>
        <v>0</v>
      </c>
      <c r="T95" s="10">
        <f>IF($L95&gt;0,$M95*$AF95,0)</f>
        <v>26</v>
      </c>
      <c r="U95" s="10">
        <f>IF($L95&gt;1,($L95-1)*$M95*$AF95,0)</f>
        <v>0</v>
      </c>
      <c r="V95" s="10">
        <f>IF($N95&gt;0,$O95*$AH95,0)</f>
        <v>0</v>
      </c>
      <c r="W95" s="10">
        <f>IF($N95&gt;1,($N95-1)*$O95*$AH95,0)</f>
        <v>0</v>
      </c>
      <c r="X95" s="12">
        <f>(wAPH1+wAPH2*IF($K95="Y",1,0)+wAPH3*$AJ95)*IF($AE95&gt;0,$M95/$AE95,0)</f>
        <v>70</v>
      </c>
      <c r="Y95" s="33">
        <f>wCMH*MIN($AI95,maxCMH)*IF($AE95&gt;0,$M95/$AE95,1)</f>
        <v>15</v>
      </c>
      <c r="Z95" s="12">
        <f>wCACH1*($T95+$V95) +((1-$AC95)*MIN(wCACH2*$AI95,maxCACH) + $AC95*MIN(wCACH3*$AI95,maxCACH))*IF($AE95&gt;0,$M95/$AE95,1)</f>
        <v>49.58</v>
      </c>
      <c r="AA95" s="12">
        <f>SUM($P95:$Z95)</f>
        <v>375.05919999999998</v>
      </c>
      <c r="AB95" s="10">
        <f>ROUND(AA95/172.5,1)</f>
        <v>2.2000000000000002</v>
      </c>
      <c r="AC95" s="14">
        <f>IF(VLOOKUP($A95,Courses!$A$2:$P$268,7,FALSE)="Y",1,0)</f>
        <v>1</v>
      </c>
      <c r="AD95" s="14">
        <f>VLOOKUP($A95,Courses!$A$2:$P$268,8,FALSE)</f>
        <v>0</v>
      </c>
      <c r="AE95" s="14">
        <f>VLOOKUP($A95,Courses!$A$2:$P$268,9,FALSE)</f>
        <v>13</v>
      </c>
      <c r="AF95" s="14">
        <f>VLOOKUP($A95,Courses!$A$2:$P$268,10,FALSE)</f>
        <v>2</v>
      </c>
      <c r="AG95" s="14">
        <f>VLOOKUP($A95,Courses!$A$2:$P$268,11,FALSE)</f>
        <v>12</v>
      </c>
      <c r="AH95" s="15">
        <f>VLOOKUP($A95,Courses!$A$2:$P$268,12,FALSE)</f>
        <v>1</v>
      </c>
      <c r="AI95" s="15">
        <f>VLOOKUP($A95,Courses!$A$2:$P$268,13,FALSE)</f>
        <v>524</v>
      </c>
      <c r="AJ95" s="15">
        <f>VLOOKUP($A95,Courses!$A$2:$P$268,14,FALSE)</f>
        <v>0</v>
      </c>
      <c r="AK95" s="15">
        <f>VLOOKUP($A95,Courses!$A$2:$P$268,15,FALSE)</f>
        <v>0</v>
      </c>
      <c r="AL95" s="15">
        <f>VLOOKUP($A95,Courses!$A$2:$P$268,16,FALSE)</f>
        <v>14</v>
      </c>
    </row>
    <row r="96" spans="1:38">
      <c r="A96" s="13" t="str">
        <f>CONCATENATE(D96,H96)</f>
        <v>ECON7030S1</v>
      </c>
      <c r="B96" s="69" t="s">
        <v>12</v>
      </c>
      <c r="C96" s="70">
        <v>2020</v>
      </c>
      <c r="D96" s="52" t="s">
        <v>67</v>
      </c>
      <c r="E96" s="13" t="str">
        <f>IF(VLOOKUP($A96,Courses!$A$2:$F$268,3,FALSE)=0,"",VLOOKUP($A96,Courses!$A$2:$F$268,3,FALSE))</f>
        <v/>
      </c>
      <c r="F96" s="13" t="str">
        <f>IF(VLOOKUP($A96,Courses!$A$2:$F$268,4,FALSE)=0,"",VLOOKUP($A96,Courses!$A$2:$F$268,4,FALSE))</f>
        <v/>
      </c>
      <c r="G96" s="13" t="str">
        <f>VLOOKUP($A96,Courses!$A$2:$F$268,5,FALSE)</f>
        <v>Microeconomic Analysis</v>
      </c>
      <c r="H96" s="70" t="s">
        <v>253</v>
      </c>
      <c r="I96" s="21" t="s">
        <v>252</v>
      </c>
      <c r="J96" s="70" t="s">
        <v>252</v>
      </c>
      <c r="L96" s="120">
        <v>1</v>
      </c>
      <c r="M96" s="71">
        <v>13</v>
      </c>
      <c r="N96" s="21"/>
      <c r="O96" s="21"/>
      <c r="P96" s="12">
        <f>IF($I96="Y",(wCCH1+wCCH2*$AJ96)*($AE96*$AF96)+(1-$AC96)*MIN(wCCH3*$AI96,maxCCH) + $AC96*MIN(wCCH4*$AI96,maxCCH),0)</f>
        <v>44.36</v>
      </c>
      <c r="Q96" s="12">
        <f>IF($J96="Y",(wTCH1+wTCH2*IF($K96="Y",1,0))*$AG96*$AH96+(1-$AC96)*MIN(wTCH3*$AI96,maxTCH) + $AC96*MIN(wTCH4*$AI96,maxTCH),0)</f>
        <v>20.5</v>
      </c>
      <c r="R96" s="10">
        <f>(wOLH1+wOLH2*IF($K96="Y",1,0)+wOLH3*$AD96)*$T96 + wRLH*$U96</f>
        <v>78</v>
      </c>
      <c r="S96" s="10">
        <f>wOTH*$V96 + wRTH*$W96</f>
        <v>0</v>
      </c>
      <c r="T96" s="10">
        <f>IF($L96&gt;0,$M96*$AF96,0)</f>
        <v>26</v>
      </c>
      <c r="U96" s="10">
        <f>IF($L96&gt;1,($L96-1)*$M96*$AF96,0)</f>
        <v>0</v>
      </c>
      <c r="V96" s="10">
        <f>IF($N96&gt;0,$O96*$AH96,0)</f>
        <v>0</v>
      </c>
      <c r="W96" s="10">
        <f>IF($N96&gt;1,($N96-1)*$O96*$AH96,0)</f>
        <v>0</v>
      </c>
      <c r="X96" s="12">
        <f>(wAPH1+wAPH2*IF($K96="Y",1,0)+wAPH3*$AJ96)*IF($AE96&gt;0,$M96/$AE96,0)</f>
        <v>50</v>
      </c>
      <c r="Y96" s="33">
        <f>wCMH*MIN($AI96,maxCMH)*IF($AE96&gt;0,$M96/$AE96,1)</f>
        <v>15</v>
      </c>
      <c r="Z96" s="12">
        <f>wCACH1*($T96+$V96) +((1-$AC96)*MIN(wCACH2*$AI96,maxCACH) + $AC96*MIN(wCACH3*$AI96,maxCACH))*IF($AE96&gt;0,$M96/$AE96,1)</f>
        <v>44.36</v>
      </c>
      <c r="AA96" s="12">
        <f>SUM($P96:$Z96)</f>
        <v>278.22000000000003</v>
      </c>
      <c r="AB96" s="10">
        <f>ROUND(AA96/172.5,1)</f>
        <v>1.6</v>
      </c>
      <c r="AC96" s="14">
        <f>IF(VLOOKUP($A96,Courses!$A$2:$P$268,7,FALSE)="Y",1,0)</f>
        <v>0</v>
      </c>
      <c r="AD96" s="14">
        <f>VLOOKUP($A96,Courses!$A$2:$P$268,8,FALSE)</f>
        <v>0</v>
      </c>
      <c r="AE96" s="14">
        <f>VLOOKUP($A96,Courses!$A$2:$P$268,9,FALSE)</f>
        <v>13</v>
      </c>
      <c r="AF96" s="14">
        <f>VLOOKUP($A96,Courses!$A$2:$P$268,10,FALSE)</f>
        <v>2</v>
      </c>
      <c r="AG96" s="14">
        <f>VLOOKUP($A96,Courses!$A$2:$P$268,11,FALSE)</f>
        <v>12</v>
      </c>
      <c r="AH96" s="15">
        <f>VLOOKUP($A96,Courses!$A$2:$P$268,12,FALSE)</f>
        <v>1</v>
      </c>
      <c r="AI96" s="15">
        <f>VLOOKUP($A96,Courses!$A$2:$P$268,13,FALSE)</f>
        <v>136</v>
      </c>
      <c r="AJ96" s="15">
        <f>VLOOKUP($A96,Courses!$A$2:$P$268,14,FALSE)</f>
        <v>0</v>
      </c>
      <c r="AK96" s="15">
        <f>VLOOKUP($A96,Courses!$A$2:$P$268,15,FALSE)</f>
        <v>0</v>
      </c>
      <c r="AL96" s="15">
        <f>VLOOKUP($A96,Courses!$A$2:$P$268,16,FALSE)</f>
        <v>4</v>
      </c>
    </row>
    <row r="97" spans="1:38">
      <c r="A97" s="13" t="str">
        <f>CONCATENATE(D97,H97)</f>
        <v>ECON7030S3</v>
      </c>
      <c r="B97" s="69" t="s">
        <v>14</v>
      </c>
      <c r="D97" s="52" t="s">
        <v>67</v>
      </c>
      <c r="E97" s="13" t="str">
        <f>IF(VLOOKUP($A97,Courses!$A$2:$F$268,3,FALSE)=0,"",VLOOKUP($A97,Courses!$A$2:$F$268,3,FALSE))</f>
        <v/>
      </c>
      <c r="F97" s="13" t="str">
        <f>IF(VLOOKUP($A97,Courses!$A$2:$F$268,4,FALSE)=0,"",VLOOKUP($A97,Courses!$A$2:$F$268,4,FALSE))</f>
        <v/>
      </c>
      <c r="G97" s="13" t="str">
        <f>VLOOKUP($A97,Courses!$A$2:$F$268,5,FALSE)</f>
        <v>Microeconomic Analysis</v>
      </c>
      <c r="H97" s="70" t="s">
        <v>255</v>
      </c>
      <c r="I97" s="21" t="s">
        <v>252</v>
      </c>
      <c r="J97" s="70" t="s">
        <v>252</v>
      </c>
      <c r="K97" s="70" t="s">
        <v>252</v>
      </c>
      <c r="L97" s="70">
        <v>1</v>
      </c>
      <c r="M97" s="71">
        <v>8</v>
      </c>
      <c r="N97" s="21"/>
      <c r="P97" s="12">
        <f>IF($I97="Y",(wCCH1+wCCH2*$AJ97)*($AE97*$AF97)+(1-$AC97)*MIN(wCCH3*$AI97,maxCCH) + $AC97*MIN(wCCH4*$AI97,maxCCH),0)</f>
        <v>40.505000000000003</v>
      </c>
      <c r="Q97" s="12">
        <f>IF($J97="Y",(wTCH1+wTCH2*IF($K97="Y",1,0))*$AG97*$AH97+(1-$AC97)*MIN(wTCH3*$AI97,maxTCH) + $AC97*MIN(wTCH4*$AI97,maxTCH),0)</f>
        <v>35.9375</v>
      </c>
      <c r="R97" s="10">
        <f>(wOLH1+wOLH2*IF($K97="Y",1,0)+wOLH3*$AD97)*$T97 + wRLH*$U97</f>
        <v>160</v>
      </c>
      <c r="S97" s="10">
        <f>wOTH*$V97 + wRTH*$W97</f>
        <v>0</v>
      </c>
      <c r="T97" s="10">
        <f>IF($L97&gt;0,$M97*$AF97,0)</f>
        <v>32</v>
      </c>
      <c r="U97" s="10">
        <f>IF($L97&gt;1,($L97-1)*$M97*$AF97,0)</f>
        <v>0</v>
      </c>
      <c r="V97" s="10">
        <f>IF($N97&gt;0,$O97*$AH97,0)</f>
        <v>0</v>
      </c>
      <c r="W97" s="10">
        <f>IF($N97&gt;1,($N97-1)*$O97*$AH97,0)</f>
        <v>0</v>
      </c>
      <c r="X97" s="12">
        <f>(wAPH1+wAPH2*IF($K97="Y",1,0)+wAPH3*$AJ97)*IF($AE97&gt;0,$M97/$AE97,0)</f>
        <v>70</v>
      </c>
      <c r="Y97" s="33">
        <f>wCMH*MIN($AI97,maxCMH)*IF($AE97&gt;0,$M97/$AE97,1)</f>
        <v>15</v>
      </c>
      <c r="Z97" s="12">
        <f>wCACH1*($T97+$V97) +((1-$AC97)*MIN(wCACH2*$AI97,maxCACH) + $AC97*MIN(wCACH3*$AI97,maxCACH))*IF($AE97&gt;0,$M97/$AE97,1)</f>
        <v>40.505000000000003</v>
      </c>
      <c r="AA97" s="12">
        <f>SUM($P97:$Z97)</f>
        <v>393.94749999999999</v>
      </c>
      <c r="AB97" s="10">
        <f>ROUND(AA97/172.5,1)</f>
        <v>2.2999999999999998</v>
      </c>
      <c r="AC97" s="14">
        <f>IF(VLOOKUP($A97,Courses!$A$2:$P$268,7,FALSE)="Y",1,0)</f>
        <v>0</v>
      </c>
      <c r="AD97" s="14">
        <f>VLOOKUP($A97,Courses!$A$2:$P$268,8,FALSE)</f>
        <v>0</v>
      </c>
      <c r="AE97" s="14">
        <f>VLOOKUP($A97,Courses!$A$2:$P$268,9,FALSE)</f>
        <v>8</v>
      </c>
      <c r="AF97" s="14">
        <f>VLOOKUP($A97,Courses!$A$2:$P$268,10,FALSE)</f>
        <v>4</v>
      </c>
      <c r="AG97" s="14">
        <f>VLOOKUP($A97,Courses!$A$2:$P$268,11,FALSE)</f>
        <v>8</v>
      </c>
      <c r="AH97" s="15">
        <f>VLOOKUP($A97,Courses!$A$2:$P$268,12,FALSE)</f>
        <v>2</v>
      </c>
      <c r="AI97" s="15">
        <f>VLOOKUP($A97,Courses!$A$2:$P$268,13,FALSE)</f>
        <v>63</v>
      </c>
      <c r="AJ97" s="15">
        <f>VLOOKUP($A97,Courses!$A$2:$P$268,14,FALSE)</f>
        <v>0</v>
      </c>
      <c r="AK97" s="15">
        <f>VLOOKUP($A97,Courses!$A$2:$P$268,15,FALSE)</f>
        <v>0</v>
      </c>
      <c r="AL97" s="15">
        <f>VLOOKUP($A97,Courses!$A$2:$P$268,16,FALSE)</f>
        <v>2</v>
      </c>
    </row>
    <row r="98" spans="1:38">
      <c r="A98" s="13" t="str">
        <f>CONCATENATE(D98,H98)</f>
        <v>ECON7040S1</v>
      </c>
      <c r="B98" s="69" t="s">
        <v>135</v>
      </c>
      <c r="C98" s="70">
        <v>2019</v>
      </c>
      <c r="D98" s="52" t="s">
        <v>41</v>
      </c>
      <c r="E98" s="13" t="str">
        <f>IF(VLOOKUP($A98,Courses!$A$2:$F$268,3,FALSE)=0,"",VLOOKUP($A98,Courses!$A$2:$F$268,3,FALSE))</f>
        <v/>
      </c>
      <c r="F98" s="13" t="str">
        <f>IF(VLOOKUP($A98,Courses!$A$2:$F$268,4,FALSE)=0,"",VLOOKUP($A98,Courses!$A$2:$F$268,4,FALSE))</f>
        <v/>
      </c>
      <c r="G98" s="13" t="str">
        <f>VLOOKUP($A98,Courses!$A$2:$F$268,5,FALSE)</f>
        <v>Macroeconomic Analysis</v>
      </c>
      <c r="H98" s="70" t="s">
        <v>253</v>
      </c>
      <c r="I98" s="21" t="s">
        <v>252</v>
      </c>
      <c r="J98" s="70" t="s">
        <v>252</v>
      </c>
      <c r="L98" s="120">
        <v>1</v>
      </c>
      <c r="M98" s="71">
        <v>13</v>
      </c>
      <c r="N98" s="21"/>
      <c r="O98" s="21"/>
      <c r="P98" s="12">
        <f>IF($I98="Y",(wCCH1+wCCH2*$AJ98)*($AE98*$AF98)+(1-$AC98)*MIN(wCCH3*$AI98,maxCCH) + $AC98*MIN(wCCH4*$AI98,maxCCH),0)</f>
        <v>38.825000000000003</v>
      </c>
      <c r="Q98" s="12">
        <f>IF($J98="Y",(wTCH1+wTCH2*IF($K98="Y",1,0))*$AG98*$AH98+(1-$AC98)*MIN(wTCH3*$AI98,maxTCH) + $AC98*MIN(wTCH4*$AI98,maxTCH),0)</f>
        <v>17.9375</v>
      </c>
      <c r="R98" s="10">
        <f>(wOLH1+wOLH2*IF($K98="Y",1,0)+wOLH3*$AD98)*$T98 + wRLH*$U98</f>
        <v>78</v>
      </c>
      <c r="S98" s="10">
        <f>wOTH*$V98 + wRTH*$W98</f>
        <v>0</v>
      </c>
      <c r="T98" s="10">
        <f>IF($L98&gt;0,$M98*$AF98,0)</f>
        <v>26</v>
      </c>
      <c r="U98" s="10">
        <f>IF($L98&gt;1,($L98-1)*$M98*$AF98,0)</f>
        <v>0</v>
      </c>
      <c r="V98" s="10">
        <f>IF($N98&gt;0,$O98*$AH98,0)</f>
        <v>0</v>
      </c>
      <c r="W98" s="10">
        <f>IF($N98&gt;1,($N98-1)*$O98*$AH98,0)</f>
        <v>0</v>
      </c>
      <c r="X98" s="12">
        <f>(wAPH1+wAPH2*IF($K98="Y",1,0)+wAPH3*$AJ98)*IF($AE98&gt;0,$M98/$AE98,0)</f>
        <v>50</v>
      </c>
      <c r="Y98" s="33">
        <f>wCMH*MIN($AI98,maxCMH)*IF($AE98&gt;0,$M98/$AE98,1)</f>
        <v>15</v>
      </c>
      <c r="Z98" s="12">
        <f>wCACH1*($T98+$V98) +((1-$AC98)*MIN(wCACH2*$AI98,maxCACH) + $AC98*MIN(wCACH3*$AI98,maxCACH))*IF($AE98&gt;0,$M98/$AE98,1)</f>
        <v>38.825000000000003</v>
      </c>
      <c r="AA98" s="12">
        <f>SUM($P98:$Z98)</f>
        <v>264.58749999999998</v>
      </c>
      <c r="AB98" s="10">
        <f>ROUND(AA98/172.5,1)</f>
        <v>1.5</v>
      </c>
      <c r="AC98" s="14">
        <f>IF(VLOOKUP($A98,Courses!$A$2:$P$268,7,FALSE)="Y",1,0)</f>
        <v>0</v>
      </c>
      <c r="AD98" s="14">
        <f>VLOOKUP($A98,Courses!$A$2:$P$268,8,FALSE)</f>
        <v>0</v>
      </c>
      <c r="AE98" s="14">
        <f>VLOOKUP($A98,Courses!$A$2:$P$268,9,FALSE)</f>
        <v>13</v>
      </c>
      <c r="AF98" s="14">
        <f>VLOOKUP($A98,Courses!$A$2:$P$268,10,FALSE)</f>
        <v>2</v>
      </c>
      <c r="AG98" s="14">
        <f>VLOOKUP($A98,Courses!$A$2:$P$268,11,FALSE)</f>
        <v>12</v>
      </c>
      <c r="AH98" s="15">
        <f>VLOOKUP($A98,Courses!$A$2:$P$268,12,FALSE)</f>
        <v>1</v>
      </c>
      <c r="AI98" s="15">
        <f>VLOOKUP($A98,Courses!$A$2:$P$268,13,FALSE)</f>
        <v>95</v>
      </c>
      <c r="AJ98" s="15">
        <f>VLOOKUP($A98,Courses!$A$2:$P$268,14,FALSE)</f>
        <v>0</v>
      </c>
      <c r="AK98" s="15">
        <f>VLOOKUP($A98,Courses!$A$2:$P$268,15,FALSE)</f>
        <v>0</v>
      </c>
      <c r="AL98" s="15">
        <f>VLOOKUP($A98,Courses!$A$2:$P$268,16,FALSE)</f>
        <v>3</v>
      </c>
    </row>
    <row r="99" spans="1:38">
      <c r="A99" s="13" t="str">
        <f>CONCATENATE(D99,H99)</f>
        <v>ECON7060S1</v>
      </c>
      <c r="B99" s="57" t="s">
        <v>511</v>
      </c>
      <c r="C99" s="83"/>
      <c r="D99" s="52" t="s">
        <v>59</v>
      </c>
      <c r="E99" s="13" t="str">
        <f>IF(VLOOKUP($A99,Courses!$A$2:$F$268,3,FALSE)=0,"",VLOOKUP($A99,Courses!$A$2:$F$268,3,FALSE))</f>
        <v/>
      </c>
      <c r="F99" s="13" t="str">
        <f>IF(VLOOKUP($A99,Courses!$A$2:$F$268,4,FALSE)=0,"",VLOOKUP($A99,Courses!$A$2:$F$268,4,FALSE))</f>
        <v/>
      </c>
      <c r="G99" s="13" t="str">
        <f>VLOOKUP($A99,Courses!$A$2:$F$268,5,FALSE)</f>
        <v>Evolution of Economic Systems</v>
      </c>
      <c r="H99" s="70" t="s">
        <v>253</v>
      </c>
      <c r="I99" s="21" t="s">
        <v>252</v>
      </c>
      <c r="J99" s="70" t="s">
        <v>252</v>
      </c>
      <c r="K99" s="70" t="s">
        <v>252</v>
      </c>
      <c r="L99" s="120">
        <v>1</v>
      </c>
      <c r="M99" s="71">
        <v>13</v>
      </c>
      <c r="N99" s="21"/>
      <c r="O99" s="21"/>
      <c r="P99" s="12">
        <f>IF($I99="Y",(wCCH1+wCCH2*$AJ99)*($AE99*$AF99)+(1-$AC99)*MIN(wCCH3*$AI99,maxCCH) + $AC99*MIN(wCCH4*$AI99,maxCCH),0)</f>
        <v>30.32</v>
      </c>
      <c r="Q99" s="12">
        <f>IF($J99="Y",(wTCH1+wTCH2*IF($K99="Y",1,0))*$AG99*$AH99+(1-$AC99)*MIN(wTCH3*$AI99,maxTCH) + $AC99*MIN(wTCH4*$AI99,maxTCH),0)</f>
        <v>50</v>
      </c>
      <c r="R99" s="10">
        <f>(wOLH1+wOLH2*IF($K99="Y",1,0)+wOLH3*$AD99)*$T99 + wRLH*$U99</f>
        <v>130</v>
      </c>
      <c r="S99" s="10">
        <f>wOTH*$V99 + wRTH*$W99</f>
        <v>0</v>
      </c>
      <c r="T99" s="10">
        <f>IF($L99&gt;0,$M99*$AF99,0)</f>
        <v>26</v>
      </c>
      <c r="U99" s="10">
        <f>IF($L99&gt;1,($L99-1)*$M99*$AF99,0)</f>
        <v>0</v>
      </c>
      <c r="V99" s="10">
        <f>IF($N99&gt;0,$O99*$AH99,0)</f>
        <v>0</v>
      </c>
      <c r="W99" s="10">
        <f>IF($N99&gt;1,($N99-1)*$O99*$AH99,0)</f>
        <v>0</v>
      </c>
      <c r="X99" s="12">
        <f>(wAPH1+wAPH2*IF($K99="Y",1,0)+wAPH3*$AJ99)*IF($AE99&gt;0,$M99/$AE99,0)</f>
        <v>70</v>
      </c>
      <c r="Y99" s="33">
        <f>wCMH*MIN($AI99,maxCMH)*IF($AE99&gt;0,$M99/$AE99,1)</f>
        <v>15</v>
      </c>
      <c r="Z99" s="12">
        <f>wCACH1*($T99+$V99) +((1-$AC99)*MIN(wCACH2*$AI99,maxCACH) + $AC99*MIN(wCACH3*$AI99,maxCACH))*IF($AE99&gt;0,$M99/$AE99,1)</f>
        <v>30.32</v>
      </c>
      <c r="AA99" s="12">
        <f>SUM($P99:$Z99)</f>
        <v>351.64</v>
      </c>
      <c r="AB99" s="10">
        <f>ROUND(AA99/172.5,1)</f>
        <v>2</v>
      </c>
      <c r="AC99" s="14">
        <f>IF(VLOOKUP($A99,Courses!$A$2:$P$268,7,FALSE)="Y",1,0)</f>
        <v>0</v>
      </c>
      <c r="AD99" s="14">
        <f>VLOOKUP($A99,Courses!$A$2:$P$268,8,FALSE)</f>
        <v>0</v>
      </c>
      <c r="AE99" s="14">
        <f>VLOOKUP($A99,Courses!$A$2:$P$268,9,FALSE)</f>
        <v>13</v>
      </c>
      <c r="AF99" s="14">
        <f>VLOOKUP($A99,Courses!$A$2:$P$268,10,FALSE)</f>
        <v>2</v>
      </c>
      <c r="AG99" s="14">
        <f>VLOOKUP($A99,Courses!$A$2:$P$268,11,FALSE)</f>
        <v>12</v>
      </c>
      <c r="AH99" s="15">
        <f>VLOOKUP($A99,Courses!$A$2:$P$268,12,FALSE)</f>
        <v>2</v>
      </c>
      <c r="AI99" s="15">
        <f>VLOOKUP($A99,Courses!$A$2:$P$268,13,FALSE)</f>
        <v>32</v>
      </c>
      <c r="AJ99" s="15">
        <f>VLOOKUP($A99,Courses!$A$2:$P$268,14,FALSE)</f>
        <v>0</v>
      </c>
      <c r="AK99" s="15">
        <f>VLOOKUP($A99,Courses!$A$2:$P$268,15,FALSE)</f>
        <v>0</v>
      </c>
      <c r="AL99" s="15">
        <f>VLOOKUP($A99,Courses!$A$2:$P$268,16,FALSE)</f>
        <v>1</v>
      </c>
    </row>
    <row r="100" spans="1:38">
      <c r="A100" s="13" t="str">
        <f>CONCATENATE(D100,H100)</f>
        <v>ECON7070S1</v>
      </c>
      <c r="B100" s="69" t="s">
        <v>171</v>
      </c>
      <c r="D100" s="52" t="s">
        <v>155</v>
      </c>
      <c r="E100" s="13" t="str">
        <f>IF(VLOOKUP($A100,Courses!$A$2:$F$268,3,FALSE)=0,"",VLOOKUP($A100,Courses!$A$2:$F$268,3,FALSE))</f>
        <v/>
      </c>
      <c r="F100" s="13" t="str">
        <f>IF(VLOOKUP($A100,Courses!$A$2:$F$268,4,FALSE)=0,"",VLOOKUP($A100,Courses!$A$2:$F$268,4,FALSE))</f>
        <v/>
      </c>
      <c r="G100" s="13" t="str">
        <f>VLOOKUP($A100,Courses!$A$2:$F$268,5,FALSE)</f>
        <v>Economic Analysis of Strategy</v>
      </c>
      <c r="H100" s="70" t="s">
        <v>253</v>
      </c>
      <c r="I100" s="21" t="s">
        <v>252</v>
      </c>
      <c r="J100" s="70" t="s">
        <v>252</v>
      </c>
      <c r="K100" s="70" t="s">
        <v>252</v>
      </c>
      <c r="L100" s="120">
        <v>1</v>
      </c>
      <c r="M100" s="71">
        <v>13</v>
      </c>
      <c r="N100" s="21"/>
      <c r="O100" s="21"/>
      <c r="P100" s="12">
        <f>IF($I100="Y",(wCCH1+wCCH2*$AJ100)*($AE100*$AF100)+(1-$AC100)*MIN(wCCH3*$AI100,maxCCH) + $AC100*MIN(wCCH4*$AI100,maxCCH),0)</f>
        <v>57.185000000000002</v>
      </c>
      <c r="Q100" s="12">
        <f>IF($J100="Y",(wTCH1+wTCH2*IF($K100="Y",1,0))*$AG100*$AH100+(1-$AC100)*MIN(wTCH3*$AI100,maxTCH) + $AC100*MIN(wTCH4*$AI100,maxTCH),0)</f>
        <v>38.4375</v>
      </c>
      <c r="R100" s="10">
        <f>(wOLH1+wOLH2*IF($K100="Y",1,0)+wOLH3*$AD100)*$T100 + wRLH*$U100</f>
        <v>130</v>
      </c>
      <c r="S100" s="10">
        <f>wOTH*$V100 + wRTH*$W100</f>
        <v>0</v>
      </c>
      <c r="T100" s="10">
        <f>IF($L100&gt;0,$M100*$AF100,0)</f>
        <v>26</v>
      </c>
      <c r="U100" s="10">
        <f>IF($L100&gt;1,($L100-1)*$M100*$AF100,0)</f>
        <v>0</v>
      </c>
      <c r="V100" s="10">
        <f>IF($N100&gt;0,$O100*$AH100,0)</f>
        <v>0</v>
      </c>
      <c r="W100" s="10">
        <f>IF($N100&gt;1,($N100-1)*$O100*$AH100,0)</f>
        <v>0</v>
      </c>
      <c r="X100" s="12">
        <f>(wAPH1+wAPH2*IF($K100="Y",1,0)+wAPH3*$AJ100)*IF($AE100&gt;0,$M100/$AE100,0)</f>
        <v>70</v>
      </c>
      <c r="Y100" s="33">
        <f>wCMH*MIN($AI100,maxCMH)*IF($AE100&gt;0,$M100/$AE100,1)</f>
        <v>15</v>
      </c>
      <c r="Z100" s="12">
        <f>wCACH1*($T100+$V100) +((1-$AC100)*MIN(wCACH2*$AI100,maxCACH) + $AC100*MIN(wCACH3*$AI100,maxCACH))*IF($AE100&gt;0,$M100/$AE100,1)</f>
        <v>57.185000000000002</v>
      </c>
      <c r="AA100" s="12">
        <f>SUM($P100:$Z100)</f>
        <v>393.8075</v>
      </c>
      <c r="AB100" s="10">
        <f>ROUND(AA100/172.5,1)</f>
        <v>2.2999999999999998</v>
      </c>
      <c r="AC100" s="14">
        <f>IF(VLOOKUP($A100,Courses!$A$2:$P$268,7,FALSE)="Y",1,0)</f>
        <v>0</v>
      </c>
      <c r="AD100" s="14">
        <f>VLOOKUP($A100,Courses!$A$2:$P$268,8,FALSE)</f>
        <v>0</v>
      </c>
      <c r="AE100" s="14">
        <f>VLOOKUP($A100,Courses!$A$2:$P$268,9,FALSE)</f>
        <v>13</v>
      </c>
      <c r="AF100" s="14">
        <f>VLOOKUP($A100,Courses!$A$2:$P$268,10,FALSE)</f>
        <v>2</v>
      </c>
      <c r="AG100" s="14">
        <f>VLOOKUP($A100,Courses!$A$2:$P$268,11,FALSE)</f>
        <v>12</v>
      </c>
      <c r="AH100" s="15">
        <f>VLOOKUP($A100,Courses!$A$2:$P$268,12,FALSE)</f>
        <v>1</v>
      </c>
      <c r="AI100" s="15">
        <f>VLOOKUP($A100,Courses!$A$2:$P$268,13,FALSE)</f>
        <v>231</v>
      </c>
      <c r="AJ100" s="15">
        <f>VLOOKUP($A100,Courses!$A$2:$P$268,14,FALSE)</f>
        <v>0</v>
      </c>
      <c r="AK100" s="15">
        <f>VLOOKUP($A100,Courses!$A$2:$P$268,15,FALSE)</f>
        <v>0</v>
      </c>
      <c r="AL100" s="15">
        <f>VLOOKUP($A100,Courses!$A$2:$P$268,16,FALSE)</f>
        <v>6</v>
      </c>
    </row>
    <row r="101" spans="1:38">
      <c r="A101" s="13" t="str">
        <f>CONCATENATE(D101,H101)</f>
        <v>ECON7070S3</v>
      </c>
      <c r="B101" s="140" t="s">
        <v>154</v>
      </c>
      <c r="C101" s="70">
        <v>2020</v>
      </c>
      <c r="D101" s="52" t="s">
        <v>155</v>
      </c>
      <c r="E101" s="13" t="str">
        <f>IF(VLOOKUP($A101,Courses!$A$2:$F$268,3,FALSE)=0,"",VLOOKUP($A101,Courses!$A$2:$F$268,3,FALSE))</f>
        <v/>
      </c>
      <c r="F101" s="13" t="str">
        <f>IF(VLOOKUP($A101,Courses!$A$2:$F$268,4,FALSE)=0,"",VLOOKUP($A101,Courses!$A$2:$F$268,4,FALSE))</f>
        <v/>
      </c>
      <c r="G101" s="13" t="str">
        <f>VLOOKUP($A101,Courses!$A$2:$F$268,5,FALSE)</f>
        <v>Economic Analysis of Strategy</v>
      </c>
      <c r="H101" s="70" t="s">
        <v>255</v>
      </c>
      <c r="I101" s="21" t="s">
        <v>252</v>
      </c>
      <c r="J101" s="70" t="s">
        <v>252</v>
      </c>
      <c r="L101" s="120">
        <v>1</v>
      </c>
      <c r="M101" s="71">
        <v>7</v>
      </c>
      <c r="N101" s="21"/>
      <c r="O101" s="21"/>
      <c r="P101" s="12">
        <f>IF($I101="Y",(wCCH1+wCCH2*$AJ101)*($AE101*$AF101)+(1-$AC101)*MIN(wCCH3*$AI101,maxCCH) + $AC101*MIN(wCCH4*$AI101,maxCCH),0)</f>
        <v>42.04</v>
      </c>
      <c r="Q101" s="12">
        <f>IF($J101="Y",(wTCH1+wTCH2*IF($K101="Y",1,0))*$AG101*$AH101+(1-$AC101)*MIN(wTCH3*$AI101,maxTCH) + $AC101*MIN(wTCH4*$AI101,maxTCH),0)</f>
        <v>13.5</v>
      </c>
      <c r="R101" s="10">
        <f>(wOLH1+wOLH2*IF($K101="Y",1,0)+wOLH3*$AD101)*$T101 + wRLH*$U101</f>
        <v>84</v>
      </c>
      <c r="S101" s="10">
        <f>wOTH*$V101 + wRTH*$W101</f>
        <v>0</v>
      </c>
      <c r="T101" s="10">
        <f>IF($L101&gt;0,$M101*$AF101,0)</f>
        <v>28</v>
      </c>
      <c r="U101" s="10">
        <f>IF($L101&gt;1,($L101-1)*$M101*$AF101,0)</f>
        <v>0</v>
      </c>
      <c r="V101" s="10">
        <f>IF($N101&gt;0,$O101*$AH101,0)</f>
        <v>0</v>
      </c>
      <c r="W101" s="10">
        <f>IF($N101&gt;1,($N101-1)*$O101*$AH101,0)</f>
        <v>0</v>
      </c>
      <c r="X101" s="12">
        <f>(wAPH1+wAPH2*IF($K101="Y",1,0)+wAPH3*$AJ101)*IF($AE101&gt;0,$M101/$AE101,0)</f>
        <v>50</v>
      </c>
      <c r="Y101" s="33">
        <f>wCMH*MIN($AI101,maxCMH)*IF($AE101&gt;0,$M101/$AE101,1)</f>
        <v>15</v>
      </c>
      <c r="Z101" s="12">
        <f>wCACH1*($T101+$V101) +((1-$AC101)*MIN(wCACH2*$AI101,maxCACH) + $AC101*MIN(wCACH3*$AI101,maxCACH))*IF($AE101&gt;0,$M101/$AE101,1)</f>
        <v>42.04</v>
      </c>
      <c r="AA101" s="12">
        <f>SUM($P101:$Z101)</f>
        <v>274.58</v>
      </c>
      <c r="AB101" s="10">
        <f>ROUND(AA101/172.5,1)</f>
        <v>1.6</v>
      </c>
      <c r="AC101" s="14">
        <f>IF(VLOOKUP($A101,Courses!$A$2:$P$268,7,FALSE)="Y",1,0)</f>
        <v>0</v>
      </c>
      <c r="AD101" s="14">
        <f>VLOOKUP($A101,Courses!$A$2:$P$268,8,FALSE)</f>
        <v>0</v>
      </c>
      <c r="AE101" s="14">
        <f>VLOOKUP($A101,Courses!$A$2:$P$268,9,FALSE)</f>
        <v>7</v>
      </c>
      <c r="AF101" s="14">
        <f>VLOOKUP($A101,Courses!$A$2:$P$268,10,FALSE)</f>
        <v>4</v>
      </c>
      <c r="AG101" s="14">
        <f>VLOOKUP($A101,Courses!$A$2:$P$268,11,FALSE)</f>
        <v>7</v>
      </c>
      <c r="AH101" s="15">
        <f>VLOOKUP($A101,Courses!$A$2:$P$268,12,FALSE)</f>
        <v>1</v>
      </c>
      <c r="AI101" s="15">
        <f>VLOOKUP($A101,Courses!$A$2:$P$268,13,FALSE)</f>
        <v>104</v>
      </c>
      <c r="AJ101" s="15">
        <f>VLOOKUP($A101,Courses!$A$2:$P$268,14,FALSE)</f>
        <v>0</v>
      </c>
      <c r="AK101" s="15">
        <f>VLOOKUP($A101,Courses!$A$2:$P$268,15,FALSE)</f>
        <v>0</v>
      </c>
      <c r="AL101" s="15">
        <f>VLOOKUP($A101,Courses!$A$2:$P$268,16,FALSE)</f>
        <v>3</v>
      </c>
    </row>
    <row r="102" spans="1:38">
      <c r="A102" s="13" t="str">
        <f>CONCATENATE(D102,H102)</f>
        <v>ECON7110S1</v>
      </c>
      <c r="B102" s="69" t="s">
        <v>269</v>
      </c>
      <c r="C102" s="70">
        <v>2020</v>
      </c>
      <c r="D102" s="52" t="s">
        <v>162</v>
      </c>
      <c r="E102" s="13" t="str">
        <f>IF(VLOOKUP($A102,Courses!$A$2:$F$268,3,FALSE)=0,"",VLOOKUP($A102,Courses!$A$2:$F$268,3,FALSE))</f>
        <v/>
      </c>
      <c r="F102" s="13" t="str">
        <f>IF(VLOOKUP($A102,Courses!$A$2:$F$268,4,FALSE)=0,"",VLOOKUP($A102,Courses!$A$2:$F$268,4,FALSE))</f>
        <v/>
      </c>
      <c r="G102" s="13" t="str">
        <f>VLOOKUP($A102,Courses!$A$2:$F$268,5,FALSE)</f>
        <v>Consumer and Firm Behaviour</v>
      </c>
      <c r="H102" s="70" t="s">
        <v>253</v>
      </c>
      <c r="I102" s="21" t="s">
        <v>252</v>
      </c>
      <c r="J102" s="70" t="s">
        <v>252</v>
      </c>
      <c r="L102" s="120">
        <v>1</v>
      </c>
      <c r="M102" s="71">
        <v>13</v>
      </c>
      <c r="N102" s="21">
        <v>3</v>
      </c>
      <c r="O102" s="21">
        <v>12</v>
      </c>
      <c r="P102" s="12">
        <f>IF($I102="Y",(wCCH1+wCCH2*$AJ102)*($AE102*$AF102)+(1-$AC102)*MIN(wCCH3*$AI102,maxCCH) + $AC102*MIN(wCCH4*$AI102,maxCCH),0)</f>
        <v>58.805</v>
      </c>
      <c r="Q102" s="12">
        <f>IF($J102="Y",(wTCH1+wTCH2*IF($K102="Y",1,0))*$AG102*$AH102+(1-$AC102)*MIN(wTCH3*$AI102,maxTCH) + $AC102*MIN(wTCH4*$AI102,maxTCH),0)</f>
        <v>27.1875</v>
      </c>
      <c r="R102" s="10">
        <f>(wOLH1+wOLH2*IF($K102="Y",1,0)+wOLH3*$AD102)*$T102 + wRLH*$U102</f>
        <v>78</v>
      </c>
      <c r="S102" s="10">
        <f>wOTH*$V102 + wRTH*$W102</f>
        <v>12</v>
      </c>
      <c r="T102" s="10">
        <f>IF($L102&gt;0,$M102*$AF102,0)</f>
        <v>26</v>
      </c>
      <c r="U102" s="10">
        <f>IF($L102&gt;1,($L102-1)*$M102*$AF102,0)</f>
        <v>0</v>
      </c>
      <c r="V102" s="10">
        <f>IF($N102&gt;0,$O102*$AH102,0)</f>
        <v>12</v>
      </c>
      <c r="W102" s="10">
        <f>IF($N102&gt;1,($N102-1)*$O102*$AH102,0)</f>
        <v>24</v>
      </c>
      <c r="X102" s="12">
        <f>(wAPH1+wAPH2*IF($K102="Y",1,0)+wAPH3*$AJ102)*IF($AE102&gt;0,$M102/$AE102,0)</f>
        <v>50</v>
      </c>
      <c r="Y102" s="33">
        <f>wCMH*MIN($AI102,maxCMH)*IF($AE102&gt;0,$M102/$AE102,1)</f>
        <v>15</v>
      </c>
      <c r="Z102" s="12">
        <f>wCACH1*($T102+$V102) +((1-$AC102)*MIN(wCACH2*$AI102,maxCACH) + $AC102*MIN(wCACH3*$AI102,maxCACH))*IF($AE102&gt;0,$M102/$AE102,1)</f>
        <v>70.805000000000007</v>
      </c>
      <c r="AA102" s="12">
        <f>SUM($P102:$Z102)</f>
        <v>373.79750000000001</v>
      </c>
      <c r="AB102" s="10">
        <f>ROUND(AA102/172.5,1)</f>
        <v>2.2000000000000002</v>
      </c>
      <c r="AC102" s="14">
        <f>IF(VLOOKUP($A102,Courses!$A$2:$P$268,7,FALSE)="Y",1,0)</f>
        <v>0</v>
      </c>
      <c r="AD102" s="14">
        <f>VLOOKUP($A102,Courses!$A$2:$P$268,8,FALSE)</f>
        <v>0</v>
      </c>
      <c r="AE102" s="14">
        <f>VLOOKUP($A102,Courses!$A$2:$P$268,9,FALSE)</f>
        <v>13</v>
      </c>
      <c r="AF102" s="14">
        <f>VLOOKUP($A102,Courses!$A$2:$P$268,10,FALSE)</f>
        <v>2</v>
      </c>
      <c r="AG102" s="14">
        <f>VLOOKUP($A102,Courses!$A$2:$P$268,11,FALSE)</f>
        <v>12</v>
      </c>
      <c r="AH102" s="15">
        <f>VLOOKUP($A102,Courses!$A$2:$P$268,12,FALSE)</f>
        <v>1</v>
      </c>
      <c r="AI102" s="15">
        <f>VLOOKUP($A102,Courses!$A$2:$P$268,13,FALSE)</f>
        <v>243</v>
      </c>
      <c r="AJ102" s="15">
        <f>VLOOKUP($A102,Courses!$A$2:$P$268,14,FALSE)</f>
        <v>0</v>
      </c>
      <c r="AK102" s="15">
        <f>VLOOKUP($A102,Courses!$A$2:$P$268,15,FALSE)</f>
        <v>0</v>
      </c>
      <c r="AL102" s="15">
        <f>VLOOKUP($A102,Courses!$A$2:$P$268,16,FALSE)</f>
        <v>7</v>
      </c>
    </row>
    <row r="103" spans="1:38">
      <c r="A103" s="13" t="str">
        <f>CONCATENATE(D103,H103)</f>
        <v>ECON7110S2</v>
      </c>
      <c r="B103" s="69" t="s">
        <v>11</v>
      </c>
      <c r="C103" s="83">
        <v>2020</v>
      </c>
      <c r="D103" s="52" t="s">
        <v>162</v>
      </c>
      <c r="E103" s="13" t="str">
        <f>IF(VLOOKUP($A103,Courses!$A$2:$F$268,3,FALSE)=0,"",VLOOKUP($A103,Courses!$A$2:$F$268,3,FALSE))</f>
        <v/>
      </c>
      <c r="F103" s="13" t="str">
        <f>IF(VLOOKUP($A103,Courses!$A$2:$F$268,4,FALSE)=0,"",VLOOKUP($A103,Courses!$A$2:$F$268,4,FALSE))</f>
        <v/>
      </c>
      <c r="G103" s="13" t="str">
        <f>VLOOKUP($A103,Courses!$A$2:$F$268,5,FALSE)</f>
        <v>Consumer and Firm Behaviour</v>
      </c>
      <c r="H103" s="70" t="s">
        <v>254</v>
      </c>
      <c r="I103" s="21" t="s">
        <v>252</v>
      </c>
      <c r="J103" s="70" t="s">
        <v>252</v>
      </c>
      <c r="L103" s="70">
        <v>1</v>
      </c>
      <c r="M103" s="71">
        <v>13</v>
      </c>
      <c r="N103" s="21"/>
      <c r="P103" s="12">
        <f>IF($I103="Y",(wCCH1+wCCH2*$AJ103)*($AE103*$AF103)+(1-$AC103)*MIN(wCCH3*$AI103,maxCCH) + $AC103*MIN(wCCH4*$AI103,maxCCH),0)</f>
        <v>40.49</v>
      </c>
      <c r="Q103" s="12">
        <f>IF($J103="Y",(wTCH1+wTCH2*IF($K103="Y",1,0))*$AG103*$AH103+(1-$AC103)*MIN(wTCH3*$AI103,maxTCH) + $AC103*MIN(wTCH4*$AI103,maxTCH),0)</f>
        <v>18.697600000000001</v>
      </c>
      <c r="R103" s="10">
        <f>(wOLH1+wOLH2*IF($K103="Y",1,0)+wOLH3*$AD103)*$T103 + wRLH*$U103</f>
        <v>78</v>
      </c>
      <c r="S103" s="10">
        <f>wOTH*$V103 + wRTH*$W103</f>
        <v>0</v>
      </c>
      <c r="T103" s="10">
        <f>IF($L103&gt;0,$M103*$AF103,0)</f>
        <v>26</v>
      </c>
      <c r="U103" s="10">
        <f>IF($L103&gt;1,($L103-1)*$M103*$AF103,0)</f>
        <v>0</v>
      </c>
      <c r="V103" s="10">
        <f>IF($N103&gt;0,$O103*$AH103,0)</f>
        <v>0</v>
      </c>
      <c r="W103" s="10">
        <f>IF($N103&gt;1,($N103-1)*$O103*$AH103,0)</f>
        <v>0</v>
      </c>
      <c r="X103" s="12">
        <f>(wAPH1+wAPH2*IF($K103="Y",1,0)+wAPH3*$AJ103)*IF($AE103&gt;0,$M103/$AE103,0)</f>
        <v>50</v>
      </c>
      <c r="Y103" s="33">
        <f>wCMH*MIN($AI103,maxCMH)*IF($AE103&gt;0,$M103/$AE103,1)</f>
        <v>15</v>
      </c>
      <c r="Z103" s="12">
        <f>wCACH1*($T103+$V103) +((1-$AC103)*MIN(wCACH2*$AI103,maxCACH) + $AC103*MIN(wCACH3*$AI103,maxCACH))*IF($AE103&gt;0,$M103/$AE103,1)</f>
        <v>40.49</v>
      </c>
      <c r="AA103" s="12">
        <f>SUM($P103:$Z103)</f>
        <v>268.67759999999998</v>
      </c>
      <c r="AB103" s="10">
        <f>ROUND(AA103/172.5,1)</f>
        <v>1.6</v>
      </c>
      <c r="AC103" s="14">
        <f>IF(VLOOKUP($A103,Courses!$A$2:$P$268,7,FALSE)="Y",1,0)</f>
        <v>1</v>
      </c>
      <c r="AD103" s="14">
        <f>VLOOKUP($A103,Courses!$A$2:$P$268,8,FALSE)</f>
        <v>0</v>
      </c>
      <c r="AE103" s="14">
        <f>VLOOKUP($A103,Courses!$A$2:$P$268,9,FALSE)</f>
        <v>13</v>
      </c>
      <c r="AF103" s="14">
        <f>VLOOKUP($A103,Courses!$A$2:$P$268,10,FALSE)</f>
        <v>2</v>
      </c>
      <c r="AG103" s="14">
        <f>VLOOKUP($A103,Courses!$A$2:$P$268,11,FALSE)</f>
        <v>12</v>
      </c>
      <c r="AH103" s="15">
        <f>VLOOKUP($A103,Courses!$A$2:$P$268,12,FALSE)</f>
        <v>1</v>
      </c>
      <c r="AI103" s="15">
        <f>VLOOKUP($A103,Courses!$A$2:$P$268,13,FALSE)</f>
        <v>322</v>
      </c>
      <c r="AJ103" s="15">
        <f>VLOOKUP($A103,Courses!$A$2:$P$268,14,FALSE)</f>
        <v>0</v>
      </c>
      <c r="AK103" s="15">
        <f>VLOOKUP($A103,Courses!$A$2:$P$268,15,FALSE)</f>
        <v>0</v>
      </c>
      <c r="AL103" s="15">
        <f>VLOOKUP($A103,Courses!$A$2:$P$268,16,FALSE)</f>
        <v>9</v>
      </c>
    </row>
    <row r="104" spans="1:38">
      <c r="A104" s="13" t="str">
        <f>CONCATENATE(D104,H104)</f>
        <v>ECON7150S1</v>
      </c>
      <c r="B104" s="69" t="s">
        <v>168</v>
      </c>
      <c r="D104" s="52" t="s">
        <v>149</v>
      </c>
      <c r="E104" s="13" t="str">
        <f>IF(VLOOKUP($A104,Courses!$A$2:$F$268,3,FALSE)=0,"",VLOOKUP($A104,Courses!$A$2:$F$268,3,FALSE))</f>
        <v/>
      </c>
      <c r="F104" s="13" t="str">
        <f>IF(VLOOKUP($A104,Courses!$A$2:$F$268,4,FALSE)=0,"",VLOOKUP($A104,Courses!$A$2:$F$268,4,FALSE))</f>
        <v/>
      </c>
      <c r="G104" s="13" t="str">
        <f>VLOOKUP($A104,Courses!$A$2:$F$268,5,FALSE)</f>
        <v>Mathematical Techniques Economics</v>
      </c>
      <c r="H104" s="70" t="s">
        <v>253</v>
      </c>
      <c r="I104" s="21" t="s">
        <v>252</v>
      </c>
      <c r="J104" s="70" t="s">
        <v>252</v>
      </c>
      <c r="K104" s="70" t="s">
        <v>252</v>
      </c>
      <c r="L104" s="120">
        <v>1</v>
      </c>
      <c r="M104" s="71">
        <v>13</v>
      </c>
      <c r="N104" s="21"/>
      <c r="O104" s="21"/>
      <c r="P104" s="12">
        <f>IF($I104="Y",(wCCH1+wCCH2*$AJ104)*($AE104*$AF104)+(1-$AC104)*MIN(wCCH3*$AI104,maxCCH) + $AC104*MIN(wCCH4*$AI104,maxCCH),0)</f>
        <v>54.215000000000003</v>
      </c>
      <c r="Q104" s="12">
        <f>IF($J104="Y",(wTCH1+wTCH2*IF($K104="Y",1,0))*$AG104*$AH104+(1-$AC104)*MIN(wTCH3*$AI104,maxTCH) + $AC104*MIN(wTCH4*$AI104,maxTCH),0)</f>
        <v>49.0625</v>
      </c>
      <c r="R104" s="10">
        <f>(wOLH1+wOLH2*IF($K104="Y",1,0)+wOLH3*$AD104)*$T104 + wRLH*$U104</f>
        <v>130</v>
      </c>
      <c r="S104" s="10">
        <f>wOTH*$V104 + wRTH*$W104</f>
        <v>0</v>
      </c>
      <c r="T104" s="10">
        <f>IF($L104&gt;0,$M104*$AF104,0)</f>
        <v>26</v>
      </c>
      <c r="U104" s="10">
        <f>IF($L104&gt;1,($L104-1)*$M104*$AF104,0)</f>
        <v>0</v>
      </c>
      <c r="V104" s="10">
        <f>IF($N104&gt;0,$O104*$AH104,0)</f>
        <v>0</v>
      </c>
      <c r="W104" s="10">
        <f>IF($N104&gt;1,($N104-1)*$O104*$AH104,0)</f>
        <v>0</v>
      </c>
      <c r="X104" s="12">
        <f>(wAPH1+wAPH2*IF($K104="Y",1,0)+wAPH3*$AJ104)*IF($AE104&gt;0,$M104/$AE104,0)</f>
        <v>70</v>
      </c>
      <c r="Y104" s="33">
        <f>wCMH*MIN($AI104,maxCMH)*IF($AE104&gt;0,$M104/$AE104,1)</f>
        <v>15</v>
      </c>
      <c r="Z104" s="12">
        <f>wCACH1*($T104+$V104) +((1-$AC104)*MIN(wCACH2*$AI104,maxCACH) + $AC104*MIN(wCACH3*$AI104,maxCACH))*IF($AE104&gt;0,$M104/$AE104,1)</f>
        <v>54.215000000000003</v>
      </c>
      <c r="AA104" s="12">
        <f>SUM($P104:$Z104)</f>
        <v>398.49250000000006</v>
      </c>
      <c r="AB104" s="10">
        <f>ROUND(AA104/172.5,1)</f>
        <v>2.2999999999999998</v>
      </c>
      <c r="AC104" s="14">
        <f>IF(VLOOKUP($A104,Courses!$A$2:$P$268,7,FALSE)="Y",1,0)</f>
        <v>0</v>
      </c>
      <c r="AD104" s="14">
        <f>VLOOKUP($A104,Courses!$A$2:$P$268,8,FALSE)</f>
        <v>0</v>
      </c>
      <c r="AE104" s="14">
        <f>VLOOKUP($A104,Courses!$A$2:$P$268,9,FALSE)</f>
        <v>13</v>
      </c>
      <c r="AF104" s="14">
        <f>VLOOKUP($A104,Courses!$A$2:$P$268,10,FALSE)</f>
        <v>2</v>
      </c>
      <c r="AG104" s="14">
        <f>VLOOKUP($A104,Courses!$A$2:$P$268,11,FALSE)</f>
        <v>12</v>
      </c>
      <c r="AH104" s="15">
        <f>VLOOKUP($A104,Courses!$A$2:$P$268,12,FALSE)</f>
        <v>1.5</v>
      </c>
      <c r="AI104" s="15">
        <f>VLOOKUP($A104,Courses!$A$2:$P$268,13,FALSE)</f>
        <v>209</v>
      </c>
      <c r="AJ104" s="15">
        <f>VLOOKUP($A104,Courses!$A$2:$P$268,14,FALSE)</f>
        <v>0</v>
      </c>
      <c r="AK104" s="15">
        <f>VLOOKUP($A104,Courses!$A$2:$P$268,15,FALSE)</f>
        <v>0</v>
      </c>
      <c r="AL104" s="15">
        <f>VLOOKUP($A104,Courses!$A$2:$P$268,16,FALSE)</f>
        <v>6</v>
      </c>
    </row>
    <row r="105" spans="1:38">
      <c r="A105" s="13" t="str">
        <f>CONCATENATE(D105,H105)</f>
        <v>ECON7150S2</v>
      </c>
      <c r="B105" s="57" t="s">
        <v>13</v>
      </c>
      <c r="C105" s="70">
        <v>2019</v>
      </c>
      <c r="D105" s="52" t="s">
        <v>149</v>
      </c>
      <c r="E105" s="13" t="str">
        <f>IF(VLOOKUP($A105,Courses!$A$2:$F$268,3,FALSE)=0,"",VLOOKUP($A105,Courses!$A$2:$F$268,3,FALSE))</f>
        <v/>
      </c>
      <c r="F105" s="13" t="str">
        <f>IF(VLOOKUP($A105,Courses!$A$2:$F$268,4,FALSE)=0,"",VLOOKUP($A105,Courses!$A$2:$F$268,4,FALSE))</f>
        <v/>
      </c>
      <c r="G105" s="13" t="str">
        <f>VLOOKUP($A105,Courses!$A$2:$F$268,5,FALSE)</f>
        <v>Mathematical Techniques Economics</v>
      </c>
      <c r="H105" s="70" t="s">
        <v>254</v>
      </c>
      <c r="I105" s="21" t="s">
        <v>252</v>
      </c>
      <c r="J105" s="70" t="s">
        <v>252</v>
      </c>
      <c r="L105" s="70">
        <v>1</v>
      </c>
      <c r="M105" s="71">
        <v>13</v>
      </c>
      <c r="N105" s="21"/>
      <c r="P105" s="12">
        <f>IF($I105="Y",(wCCH1+wCCH2*$AJ105)*($AE105*$AF105)+(1-$AC105)*MIN(wCCH3*$AI105,maxCCH) + $AC105*MIN(wCCH4*$AI105,maxCCH),0)</f>
        <v>56.24</v>
      </c>
      <c r="Q105" s="12">
        <f>IF($J105="Y",(wTCH1+wTCH2*IF($K105="Y",1,0))*$AG105*$AH105+(1-$AC105)*MIN(wTCH3*$AI105,maxTCH) + $AC105*MIN(wTCH4*$AI105,maxTCH),0)</f>
        <v>32</v>
      </c>
      <c r="R105" s="10">
        <f>(wOLH1+wOLH2*IF($K105="Y",1,0)+wOLH3*$AD105)*$T105 + wRLH*$U105</f>
        <v>78</v>
      </c>
      <c r="S105" s="10">
        <f>wOTH*$V105 + wRTH*$W105</f>
        <v>0</v>
      </c>
      <c r="T105" s="10">
        <f>IF($L105&gt;0,$M105*$AF105,0)</f>
        <v>26</v>
      </c>
      <c r="U105" s="10">
        <f>IF($L105&gt;1,($L105-1)*$M105*$AF105,0)</f>
        <v>0</v>
      </c>
      <c r="V105" s="10">
        <f>IF($N105&gt;0,$O105*$AH105,0)</f>
        <v>0</v>
      </c>
      <c r="W105" s="10">
        <f>IF($N105&gt;1,($N105-1)*$O105*$AH105,0)</f>
        <v>0</v>
      </c>
      <c r="X105" s="12">
        <f>(wAPH1+wAPH2*IF($K105="Y",1,0)+wAPH3*$AJ105)*IF($AE105&gt;0,$M105/$AE105,0)</f>
        <v>50</v>
      </c>
      <c r="Y105" s="33">
        <f>wCMH*MIN($AI105,maxCMH)*IF($AE105&gt;0,$M105/$AE105,1)</f>
        <v>15</v>
      </c>
      <c r="Z105" s="12">
        <f>wCACH1*($T105+$V105) +((1-$AC105)*MIN(wCACH2*$AI105,maxCACH) + $AC105*MIN(wCACH3*$AI105,maxCACH))*IF($AE105&gt;0,$M105/$AE105,1)</f>
        <v>56.24</v>
      </c>
      <c r="AA105" s="12">
        <f>SUM($P105:$Z105)</f>
        <v>313.48</v>
      </c>
      <c r="AB105" s="10">
        <f>ROUND(AA105/172.5,1)</f>
        <v>1.8</v>
      </c>
      <c r="AC105" s="14">
        <f>IF(VLOOKUP($A105,Courses!$A$2:$P$268,7,FALSE)="Y",1,0)</f>
        <v>0</v>
      </c>
      <c r="AD105" s="14">
        <f>VLOOKUP($A105,Courses!$A$2:$P$268,8,FALSE)</f>
        <v>0</v>
      </c>
      <c r="AE105" s="14">
        <f>VLOOKUP($A105,Courses!$A$2:$P$268,9,FALSE)</f>
        <v>13</v>
      </c>
      <c r="AF105" s="14">
        <f>VLOOKUP($A105,Courses!$A$2:$P$268,10,FALSE)</f>
        <v>2</v>
      </c>
      <c r="AG105" s="14">
        <f>VLOOKUP($A105,Courses!$A$2:$P$268,11,FALSE)</f>
        <v>12</v>
      </c>
      <c r="AH105" s="15">
        <f>VLOOKUP($A105,Courses!$A$2:$P$268,12,FALSE)</f>
        <v>1.5</v>
      </c>
      <c r="AI105" s="15">
        <f>VLOOKUP($A105,Courses!$A$2:$P$268,13,FALSE)</f>
        <v>224</v>
      </c>
      <c r="AJ105" s="15">
        <f>VLOOKUP($A105,Courses!$A$2:$P$268,14,FALSE)</f>
        <v>0</v>
      </c>
      <c r="AK105" s="15">
        <f>VLOOKUP($A105,Courses!$A$2:$P$268,15,FALSE)</f>
        <v>0</v>
      </c>
      <c r="AL105" s="15">
        <f>VLOOKUP($A105,Courses!$A$2:$P$268,16,FALSE)</f>
        <v>6</v>
      </c>
    </row>
    <row r="106" spans="1:38">
      <c r="A106" s="13" t="str">
        <f>CONCATENATE(D106,H106)</f>
        <v>ECON7200S1</v>
      </c>
      <c r="B106" s="69" t="s">
        <v>137</v>
      </c>
      <c r="C106" s="71">
        <v>2019</v>
      </c>
      <c r="D106" s="52" t="s">
        <v>30</v>
      </c>
      <c r="E106" s="13" t="str">
        <f>IF(VLOOKUP($A106,Courses!$A$2:$F$268,3,FALSE)=0,"",VLOOKUP($A106,Courses!$A$2:$F$268,3,FALSE))</f>
        <v/>
      </c>
      <c r="F106" s="13" t="str">
        <f>IF(VLOOKUP($A106,Courses!$A$2:$F$268,4,FALSE)=0,"",VLOOKUP($A106,Courses!$A$2:$F$268,4,FALSE))</f>
        <v/>
      </c>
      <c r="G106" s="13" t="str">
        <f>VLOOKUP($A106,Courses!$A$2:$F$268,5,FALSE)</f>
        <v>Economics of Financial Markets</v>
      </c>
      <c r="H106" s="70" t="s">
        <v>253</v>
      </c>
      <c r="I106" s="21" t="s">
        <v>252</v>
      </c>
      <c r="J106" s="70" t="s">
        <v>252</v>
      </c>
      <c r="L106" s="120">
        <v>1</v>
      </c>
      <c r="M106" s="71">
        <v>13</v>
      </c>
      <c r="N106" s="21"/>
      <c r="O106" s="21"/>
      <c r="P106" s="12">
        <f>IF($I106="Y",(wCCH1+wCCH2*$AJ106)*($AE106*$AF106)+(1-$AC106)*MIN(wCCH3*$AI106,maxCCH) + $AC106*MIN(wCCH4*$AI106,maxCCH),0)</f>
        <v>57.32</v>
      </c>
      <c r="Q106" s="12">
        <f>IF($J106="Y",(wTCH1+wTCH2*IF($K106="Y",1,0))*$AG106*$AH106+(1-$AC106)*MIN(wTCH3*$AI106,maxTCH) + $AC106*MIN(wTCH4*$AI106,maxTCH),0)</f>
        <v>32.5</v>
      </c>
      <c r="R106" s="10">
        <f>(wOLH1+wOLH2*IF($K106="Y",1,0)+wOLH3*$AD106)*$T106 + wRLH*$U106</f>
        <v>78</v>
      </c>
      <c r="S106" s="10">
        <f>wOTH*$V106 + wRTH*$W106</f>
        <v>0</v>
      </c>
      <c r="T106" s="10">
        <f>IF($L106&gt;0,$M106*$AF106,0)</f>
        <v>26</v>
      </c>
      <c r="U106" s="10">
        <f>IF($L106&gt;1,($L106-1)*$M106*$AF106,0)</f>
        <v>0</v>
      </c>
      <c r="V106" s="10">
        <f>IF($N106&gt;0,$O106*$AH106,0)</f>
        <v>0</v>
      </c>
      <c r="W106" s="10">
        <f>IF($N106&gt;1,($N106-1)*$O106*$AH106,0)</f>
        <v>0</v>
      </c>
      <c r="X106" s="12">
        <f>(wAPH1+wAPH2*IF($K106="Y",1,0)+wAPH3*$AJ106)*IF($AE106&gt;0,$M106/$AE106,0)</f>
        <v>50</v>
      </c>
      <c r="Y106" s="33">
        <f>wCMH*MIN($AI106,maxCMH)*IF($AE106&gt;0,$M106/$AE106,1)</f>
        <v>15</v>
      </c>
      <c r="Z106" s="12">
        <f>wCACH1*($T106+$V106) +((1-$AC106)*MIN(wCACH2*$AI106,maxCACH) + $AC106*MIN(wCACH3*$AI106,maxCACH))*IF($AE106&gt;0,$M106/$AE106,1)</f>
        <v>57.32</v>
      </c>
      <c r="AA106" s="12">
        <f>SUM($P106:$Z106)</f>
        <v>316.14</v>
      </c>
      <c r="AB106" s="10">
        <f>ROUND(AA106/172.5,1)</f>
        <v>1.8</v>
      </c>
      <c r="AC106" s="14">
        <f>IF(VLOOKUP($A106,Courses!$A$2:$P$268,7,FALSE)="Y",1,0)</f>
        <v>0</v>
      </c>
      <c r="AD106" s="14">
        <f>VLOOKUP($A106,Courses!$A$2:$P$268,8,FALSE)</f>
        <v>0</v>
      </c>
      <c r="AE106" s="14">
        <f>VLOOKUP($A106,Courses!$A$2:$P$268,9,FALSE)</f>
        <v>13</v>
      </c>
      <c r="AF106" s="14">
        <f>VLOOKUP($A106,Courses!$A$2:$P$268,10,FALSE)</f>
        <v>2</v>
      </c>
      <c r="AG106" s="14">
        <f>VLOOKUP($A106,Courses!$A$2:$P$268,11,FALSE)</f>
        <v>12</v>
      </c>
      <c r="AH106" s="15">
        <f>VLOOKUP($A106,Courses!$A$2:$P$268,12,FALSE)</f>
        <v>1.5</v>
      </c>
      <c r="AI106" s="15">
        <f>VLOOKUP($A106,Courses!$A$2:$P$268,13,FALSE)</f>
        <v>232</v>
      </c>
      <c r="AJ106" s="15">
        <f>VLOOKUP($A106,Courses!$A$2:$P$268,14,FALSE)</f>
        <v>0</v>
      </c>
      <c r="AK106" s="15">
        <f>VLOOKUP($A106,Courses!$A$2:$P$268,15,FALSE)</f>
        <v>0</v>
      </c>
      <c r="AL106" s="15">
        <f>VLOOKUP($A106,Courses!$A$2:$P$268,16,FALSE)</f>
        <v>6</v>
      </c>
    </row>
    <row r="107" spans="1:38">
      <c r="A107" s="13" t="str">
        <f>CONCATENATE(D107,H107)</f>
        <v>ECON7200S2</v>
      </c>
      <c r="B107" s="57" t="s">
        <v>807</v>
      </c>
      <c r="D107" s="52" t="s">
        <v>30</v>
      </c>
      <c r="E107" s="13" t="str">
        <f>IF(VLOOKUP($A107,Courses!$A$2:$F$268,3,FALSE)=0,"",VLOOKUP($A107,Courses!$A$2:$F$268,3,FALSE))</f>
        <v/>
      </c>
      <c r="F107" s="13" t="str">
        <f>IF(VLOOKUP($A107,Courses!$A$2:$F$268,4,FALSE)=0,"",VLOOKUP($A107,Courses!$A$2:$F$268,4,FALSE))</f>
        <v/>
      </c>
      <c r="G107" s="13" t="str">
        <f>VLOOKUP($A107,Courses!$A$2:$F$268,5,FALSE)</f>
        <v>Economics of Financial Markets</v>
      </c>
      <c r="H107" s="70" t="s">
        <v>254</v>
      </c>
      <c r="I107" s="21" t="s">
        <v>252</v>
      </c>
      <c r="J107" s="70" t="s">
        <v>252</v>
      </c>
      <c r="L107" s="70">
        <v>1</v>
      </c>
      <c r="M107" s="71">
        <v>13</v>
      </c>
      <c r="N107" s="21"/>
      <c r="P107" s="12">
        <f>IF($I107="Y",(wCCH1+wCCH2*$AJ107)*($AE107*$AF107)+(1-$AC107)*MIN(wCCH3*$AI107,maxCCH) + $AC107*MIN(wCCH4*$AI107,maxCCH),0)</f>
        <v>62.18</v>
      </c>
      <c r="Q107" s="12">
        <f>IF($J107="Y",(wTCH1+wTCH2*IF($K107="Y",1,0))*$AG107*$AH107+(1-$AC107)*MIN(wTCH3*$AI107,maxTCH) + $AC107*MIN(wTCH4*$AI107,maxTCH),0)</f>
        <v>34.75</v>
      </c>
      <c r="R107" s="10">
        <f>(wOLH1+wOLH2*IF($K107="Y",1,0)+wOLH3*$AD107)*$T107 + wRLH*$U107</f>
        <v>78</v>
      </c>
      <c r="S107" s="10">
        <f>wOTH*$V107 + wRTH*$W107</f>
        <v>0</v>
      </c>
      <c r="T107" s="10">
        <f>IF($L107&gt;0,$M107*$AF107,0)</f>
        <v>26</v>
      </c>
      <c r="U107" s="10">
        <f>IF($L107&gt;1,($L107-1)*$M107*$AF107,0)</f>
        <v>0</v>
      </c>
      <c r="V107" s="10">
        <f>IF($N107&gt;0,$O107*$AH107,0)</f>
        <v>0</v>
      </c>
      <c r="W107" s="10">
        <f>IF($N107&gt;1,($N107-1)*$O107*$AH107,0)</f>
        <v>0</v>
      </c>
      <c r="X107" s="12">
        <f>(wAPH1+wAPH2*IF($K107="Y",1,0)+wAPH3*$AJ107)*IF($AE107&gt;0,$M107/$AE107,0)</f>
        <v>50</v>
      </c>
      <c r="Y107" s="33">
        <f>wCMH*MIN($AI107,maxCMH)*IF($AE107&gt;0,$M107/$AE107,1)</f>
        <v>15</v>
      </c>
      <c r="Z107" s="12">
        <f>wCACH1*($T107+$V107) +((1-$AC107)*MIN(wCACH2*$AI107,maxCACH) + $AC107*MIN(wCACH3*$AI107,maxCACH))*IF($AE107&gt;0,$M107/$AE107,1)</f>
        <v>62.18</v>
      </c>
      <c r="AA107" s="12">
        <f>SUM($P107:$Z107)</f>
        <v>328.11</v>
      </c>
      <c r="AB107" s="10">
        <f>ROUND(AA107/172.5,1)</f>
        <v>1.9</v>
      </c>
      <c r="AC107" s="14">
        <f>IF(VLOOKUP($A107,Courses!$A$2:$P$268,7,FALSE)="Y",1,0)</f>
        <v>0</v>
      </c>
      <c r="AD107" s="14">
        <f>VLOOKUP($A107,Courses!$A$2:$P$268,8,FALSE)</f>
        <v>0</v>
      </c>
      <c r="AE107" s="14">
        <f>VLOOKUP($A107,Courses!$A$2:$P$268,9,FALSE)</f>
        <v>13</v>
      </c>
      <c r="AF107" s="14">
        <f>VLOOKUP($A107,Courses!$A$2:$P$268,10,FALSE)</f>
        <v>2</v>
      </c>
      <c r="AG107" s="14">
        <f>VLOOKUP($A107,Courses!$A$2:$P$268,11,FALSE)</f>
        <v>12</v>
      </c>
      <c r="AH107" s="15">
        <f>VLOOKUP($A107,Courses!$A$2:$P$268,12,FALSE)</f>
        <v>1.5</v>
      </c>
      <c r="AI107" s="15">
        <f>VLOOKUP($A107,Courses!$A$2:$P$268,13,FALSE)</f>
        <v>268</v>
      </c>
      <c r="AJ107" s="15">
        <f>VLOOKUP($A107,Courses!$A$2:$P$268,14,FALSE)</f>
        <v>0</v>
      </c>
      <c r="AK107" s="15">
        <f>VLOOKUP($A107,Courses!$A$2:$P$268,15,FALSE)</f>
        <v>0</v>
      </c>
      <c r="AL107" s="15">
        <f>VLOOKUP($A107,Courses!$A$2:$P$268,16,FALSE)</f>
        <v>7</v>
      </c>
    </row>
    <row r="108" spans="1:38">
      <c r="A108" s="13" t="str">
        <f>CONCATENATE(D108,H108)</f>
        <v>ECON7300S1</v>
      </c>
      <c r="B108" s="69" t="s">
        <v>121</v>
      </c>
      <c r="C108" s="83">
        <v>2020</v>
      </c>
      <c r="D108" s="52" t="s">
        <v>3</v>
      </c>
      <c r="E108" s="13" t="str">
        <f>IF(VLOOKUP($A108,Courses!$A$2:$F$268,3,FALSE)=0,"",VLOOKUP($A108,Courses!$A$2:$F$268,3,FALSE))</f>
        <v/>
      </c>
      <c r="F108" s="13" t="str">
        <f>IF(VLOOKUP($A108,Courses!$A$2:$F$268,4,FALSE)=0,"",VLOOKUP($A108,Courses!$A$2:$F$268,4,FALSE))</f>
        <v/>
      </c>
      <c r="G108" s="13" t="str">
        <f>VLOOKUP($A108,Courses!$A$2:$F$268,5,FALSE)</f>
        <v>Statistics for Business &amp; Economics</v>
      </c>
      <c r="H108" s="70" t="s">
        <v>253</v>
      </c>
      <c r="I108" s="21" t="s">
        <v>252</v>
      </c>
      <c r="J108" s="70" t="s">
        <v>252</v>
      </c>
      <c r="L108" s="120">
        <v>1</v>
      </c>
      <c r="M108" s="71">
        <v>13</v>
      </c>
      <c r="N108" s="21"/>
      <c r="O108" s="21"/>
      <c r="P108" s="12">
        <f>IF($I108="Y",(wCCH1+wCCH2*$AJ108)*($AE108*$AF108)+(1-$AC108)*MIN(wCCH3*$AI108,maxCCH) + $AC108*MIN(wCCH4*$AI108,maxCCH),0)</f>
        <v>43.144999999999996</v>
      </c>
      <c r="Q108" s="12">
        <f>IF($J108="Y",(wTCH1+wTCH2*IF($K108="Y",1,0))*$AG108*$AH108+(1-$AC108)*MIN(wTCH3*$AI108,maxTCH) + $AC108*MIN(wTCH4*$AI108,maxTCH),0)</f>
        <v>31.924799999999998</v>
      </c>
      <c r="R108" s="10">
        <f>(wOLH1+wOLH2*IF($K108="Y",1,0)+wOLH3*$AD108)*$T108 + wRLH*$U108</f>
        <v>78</v>
      </c>
      <c r="S108" s="10">
        <f>wOTH*$V108 + wRTH*$W108</f>
        <v>0</v>
      </c>
      <c r="T108" s="10">
        <f>IF($L108&gt;0,$M108*$AF108,0)</f>
        <v>26</v>
      </c>
      <c r="U108" s="10">
        <f>IF($L108&gt;1,($L108-1)*$M108*$AF108,0)</f>
        <v>0</v>
      </c>
      <c r="V108" s="10">
        <f>IF($N108&gt;0,$O108*$AH108,0)</f>
        <v>0</v>
      </c>
      <c r="W108" s="10">
        <f>IF($N108&gt;1,($N108-1)*$O108*$AH108,0)</f>
        <v>0</v>
      </c>
      <c r="X108" s="12">
        <f>(wAPH1+wAPH2*IF($K108="Y",1,0)+wAPH3*$AJ108)*IF($AE108&gt;0,$M108/$AE108,0)</f>
        <v>50</v>
      </c>
      <c r="Y108" s="33">
        <f>wCMH*MIN($AI108,maxCMH)*IF($AE108&gt;0,$M108/$AE108,1)</f>
        <v>15</v>
      </c>
      <c r="Z108" s="12">
        <f>wCACH1*($T108+$V108) +((1-$AC108)*MIN(wCACH2*$AI108,maxCACH) + $AC108*MIN(wCACH3*$AI108,maxCACH))*IF($AE108&gt;0,$M108/$AE108,1)</f>
        <v>43.144999999999996</v>
      </c>
      <c r="AA108" s="12">
        <f>SUM($P108:$Z108)</f>
        <v>287.21479999999997</v>
      </c>
      <c r="AB108" s="10">
        <f>ROUND(AA108/172.5,1)</f>
        <v>1.7</v>
      </c>
      <c r="AC108" s="14">
        <f>IF(VLOOKUP($A108,Courses!$A$2:$P$268,7,FALSE)="Y",1,0)</f>
        <v>1</v>
      </c>
      <c r="AD108" s="14">
        <f>VLOOKUP($A108,Courses!$A$2:$P$268,8,FALSE)</f>
        <v>0</v>
      </c>
      <c r="AE108" s="14">
        <f>VLOOKUP($A108,Courses!$A$2:$P$268,9,FALSE)</f>
        <v>13</v>
      </c>
      <c r="AF108" s="14">
        <f>VLOOKUP($A108,Courses!$A$2:$P$268,10,FALSE)</f>
        <v>2</v>
      </c>
      <c r="AG108" s="14">
        <f>VLOOKUP($A108,Courses!$A$2:$P$268,11,FALSE)</f>
        <v>12</v>
      </c>
      <c r="AH108" s="15">
        <f>VLOOKUP($A108,Courses!$A$2:$P$268,12,FALSE)</f>
        <v>2</v>
      </c>
      <c r="AI108" s="15">
        <f>VLOOKUP($A108,Courses!$A$2:$P$268,13,FALSE)</f>
        <v>381</v>
      </c>
      <c r="AJ108" s="15">
        <f>VLOOKUP($A108,Courses!$A$2:$P$268,14,FALSE)</f>
        <v>0</v>
      </c>
      <c r="AK108" s="15">
        <f>VLOOKUP($A108,Courses!$A$2:$P$268,15,FALSE)</f>
        <v>0</v>
      </c>
      <c r="AL108" s="15">
        <f>VLOOKUP($A108,Courses!$A$2:$P$268,16,FALSE)</f>
        <v>10</v>
      </c>
    </row>
    <row r="109" spans="1:38">
      <c r="A109" s="13" t="str">
        <f>CONCATENATE(D109,H109)</f>
        <v>ECON7300S2</v>
      </c>
      <c r="B109" s="57" t="s">
        <v>121</v>
      </c>
      <c r="C109" s="83"/>
      <c r="D109" s="52" t="s">
        <v>3</v>
      </c>
      <c r="E109" s="13" t="str">
        <f>IF(VLOOKUP($A109,Courses!$A$2:$F$268,3,FALSE)=0,"",VLOOKUP($A109,Courses!$A$2:$F$268,3,FALSE))</f>
        <v/>
      </c>
      <c r="F109" s="13" t="str">
        <f>IF(VLOOKUP($A109,Courses!$A$2:$F$268,4,FALSE)=0,"",VLOOKUP($A109,Courses!$A$2:$F$268,4,FALSE))</f>
        <v/>
      </c>
      <c r="G109" s="13" t="str">
        <f>VLOOKUP($A109,Courses!$A$2:$F$268,5,FALSE)</f>
        <v>Statistics for Business &amp; Economics</v>
      </c>
      <c r="H109" s="70" t="s">
        <v>254</v>
      </c>
      <c r="I109" s="21" t="s">
        <v>252</v>
      </c>
      <c r="J109" s="70" t="s">
        <v>252</v>
      </c>
      <c r="L109" s="70">
        <v>2</v>
      </c>
      <c r="M109" s="71">
        <v>13</v>
      </c>
      <c r="N109" s="21"/>
      <c r="P109" s="12">
        <f>IF($I109="Y",(wCCH1+wCCH2*$AJ109)*($AE109*$AF109)+(1-$AC109)*MIN(wCCH3*$AI109,maxCCH) + $AC109*MIN(wCCH4*$AI109,maxCCH),0)</f>
        <v>47.015000000000001</v>
      </c>
      <c r="Q109" s="12">
        <f>IF($J109="Y",(wTCH1+wTCH2*IF($K109="Y",1,0))*$AG109*$AH109+(1-$AC109)*MIN(wTCH3*$AI109,maxTCH) + $AC109*MIN(wTCH4*$AI109,maxTCH),0)</f>
        <v>33.7136</v>
      </c>
      <c r="R109" s="10">
        <f>(wOLH1+wOLH2*IF($K109="Y",1,0)+wOLH3*$AD109)*$T109 + wRLH*$U109</f>
        <v>104</v>
      </c>
      <c r="S109" s="10">
        <f>wOTH*$V109 + wRTH*$W109</f>
        <v>0</v>
      </c>
      <c r="T109" s="10">
        <f>IF($L109&gt;0,$M109*$AF109,0)</f>
        <v>26</v>
      </c>
      <c r="U109" s="10">
        <f>IF($L109&gt;1,($L109-1)*$M109*$AF109,0)</f>
        <v>26</v>
      </c>
      <c r="V109" s="10">
        <f>IF($N109&gt;0,$O109*$AH109,0)</f>
        <v>0</v>
      </c>
      <c r="W109" s="10">
        <f>IF($N109&gt;1,($N109-1)*$O109*$AH109,0)</f>
        <v>0</v>
      </c>
      <c r="X109" s="12">
        <f>(wAPH1+wAPH2*IF($K109="Y",1,0)+wAPH3*$AJ109)*IF($AE109&gt;0,$M109/$AE109,0)</f>
        <v>50</v>
      </c>
      <c r="Y109" s="33">
        <f>wCMH*MIN($AI109,maxCMH)*IF($AE109&gt;0,$M109/$AE109,1)</f>
        <v>15</v>
      </c>
      <c r="Z109" s="12">
        <f>wCACH1*($T109+$V109) +((1-$AC109)*MIN(wCACH2*$AI109,maxCACH) + $AC109*MIN(wCACH3*$AI109,maxCACH))*IF($AE109&gt;0,$M109/$AE109,1)</f>
        <v>47.015000000000001</v>
      </c>
      <c r="AA109" s="12">
        <f>SUM($P109:$Z109)</f>
        <v>348.74360000000001</v>
      </c>
      <c r="AB109" s="10">
        <f>ROUND(AA109/172.5,1)</f>
        <v>2</v>
      </c>
      <c r="AC109" s="14">
        <f>IF(VLOOKUP($A109,Courses!$A$2:$P$268,7,FALSE)="Y",1,0)</f>
        <v>1</v>
      </c>
      <c r="AD109" s="14">
        <f>VLOOKUP($A109,Courses!$A$2:$P$268,8,FALSE)</f>
        <v>0</v>
      </c>
      <c r="AE109" s="14">
        <f>VLOOKUP($A109,Courses!$A$2:$P$268,9,FALSE)</f>
        <v>13</v>
      </c>
      <c r="AF109" s="14">
        <f>VLOOKUP($A109,Courses!$A$2:$P$268,10,FALSE)</f>
        <v>2</v>
      </c>
      <c r="AG109" s="14">
        <f>VLOOKUP($A109,Courses!$A$2:$P$268,11,FALSE)</f>
        <v>12</v>
      </c>
      <c r="AH109" s="15">
        <f>VLOOKUP($A109,Courses!$A$2:$P$268,12,FALSE)</f>
        <v>2</v>
      </c>
      <c r="AI109" s="15">
        <f>VLOOKUP($A109,Courses!$A$2:$P$268,13,FALSE)</f>
        <v>467</v>
      </c>
      <c r="AJ109" s="15">
        <f>VLOOKUP($A109,Courses!$A$2:$P$268,14,FALSE)</f>
        <v>0</v>
      </c>
      <c r="AK109" s="15">
        <f>VLOOKUP($A109,Courses!$A$2:$P$268,15,FALSE)</f>
        <v>0</v>
      </c>
      <c r="AL109" s="15">
        <f>VLOOKUP($A109,Courses!$A$2:$P$268,16,FALSE)</f>
        <v>12</v>
      </c>
    </row>
    <row r="110" spans="1:38">
      <c r="A110" s="13" t="str">
        <f>CONCATENATE(D110,H110)</f>
        <v>ECON7310S1</v>
      </c>
      <c r="B110" s="69" t="s">
        <v>524</v>
      </c>
      <c r="C110" s="83">
        <v>2020</v>
      </c>
      <c r="D110" s="52" t="s">
        <v>94</v>
      </c>
      <c r="E110" s="13" t="str">
        <f>IF(VLOOKUP($A110,Courses!$A$2:$F$268,3,FALSE)=0,"",VLOOKUP($A110,Courses!$A$2:$F$268,3,FALSE))</f>
        <v/>
      </c>
      <c r="F110" s="13" t="str">
        <f>IF(VLOOKUP($A110,Courses!$A$2:$F$268,4,FALSE)=0,"",VLOOKUP($A110,Courses!$A$2:$F$268,4,FALSE))</f>
        <v/>
      </c>
      <c r="G110" s="13" t="str">
        <f>VLOOKUP($A110,Courses!$A$2:$F$268,5,FALSE)</f>
        <v>Elements of Econometrics</v>
      </c>
      <c r="H110" s="70" t="s">
        <v>253</v>
      </c>
      <c r="I110" s="21" t="s">
        <v>252</v>
      </c>
      <c r="J110" s="70" t="s">
        <v>252</v>
      </c>
      <c r="K110" s="63"/>
      <c r="L110" s="120">
        <v>1</v>
      </c>
      <c r="M110" s="71">
        <v>13</v>
      </c>
      <c r="N110" s="21"/>
      <c r="O110" s="21"/>
      <c r="P110" s="12">
        <f>IF($I110="Y",(wCCH1+wCCH2*$AJ110)*($AE110*$AF110)+(1-$AC110)*MIN(wCCH3*$AI110,maxCCH) + $AC110*MIN(wCCH4*$AI110,maxCCH),0)</f>
        <v>60.56</v>
      </c>
      <c r="Q110" s="12">
        <f>IF($J110="Y",(wTCH1+wTCH2*IF($K110="Y",1,0))*$AG110*$AH110+(1-$AC110)*MIN(wTCH3*$AI110,maxTCH) + $AC110*MIN(wTCH4*$AI110,maxTCH),0)</f>
        <v>42</v>
      </c>
      <c r="R110" s="10">
        <f>(wOLH1+wOLH2*IF($K110="Y",1,0)+wOLH3*$AD110)*$T110 + wRLH*$U110</f>
        <v>78</v>
      </c>
      <c r="S110" s="10">
        <f>wOTH*$V110 + wRTH*$W110</f>
        <v>0</v>
      </c>
      <c r="T110" s="10">
        <f>IF($L110&gt;0,$M110*$AF110,0)</f>
        <v>26</v>
      </c>
      <c r="U110" s="10">
        <f>IF($L110&gt;1,($L110-1)*$M110*$AF110,0)</f>
        <v>0</v>
      </c>
      <c r="V110" s="10">
        <f>IF($N110&gt;0,$O110*$AH110,0)</f>
        <v>0</v>
      </c>
      <c r="W110" s="10">
        <f>IF($N110&gt;1,($N110-1)*$O110*$AH110,0)</f>
        <v>0</v>
      </c>
      <c r="X110" s="12">
        <f>(wAPH1+wAPH2*IF($K110="Y",1,0)+wAPH3*$AJ110)*IF($AE110&gt;0,$M110/$AE110,0)</f>
        <v>50</v>
      </c>
      <c r="Y110" s="33">
        <f>wCMH*MIN($AI110,maxCMH)*IF($AE110&gt;0,$M110/$AE110,1)</f>
        <v>15</v>
      </c>
      <c r="Z110" s="12">
        <f>wCACH1*($T110+$V110) +((1-$AC110)*MIN(wCACH2*$AI110,maxCACH) + $AC110*MIN(wCACH3*$AI110,maxCACH))*IF($AE110&gt;0,$M110/$AE110,1)</f>
        <v>60.56</v>
      </c>
      <c r="AA110" s="12">
        <f>SUM($P110:$Z110)</f>
        <v>332.12</v>
      </c>
      <c r="AB110" s="10">
        <f>ROUND(AA110/172.5,1)</f>
        <v>1.9</v>
      </c>
      <c r="AC110" s="14">
        <f>IF(VLOOKUP($A110,Courses!$A$2:$P$268,7,FALSE)="Y",1,0)</f>
        <v>0</v>
      </c>
      <c r="AD110" s="14">
        <f>VLOOKUP($A110,Courses!$A$2:$P$268,8,FALSE)</f>
        <v>0</v>
      </c>
      <c r="AE110" s="14">
        <f>VLOOKUP($A110,Courses!$A$2:$P$268,9,FALSE)</f>
        <v>13</v>
      </c>
      <c r="AF110" s="14">
        <f>VLOOKUP($A110,Courses!$A$2:$P$268,10,FALSE)</f>
        <v>2</v>
      </c>
      <c r="AG110" s="14">
        <f>VLOOKUP($A110,Courses!$A$2:$P$268,11,FALSE)</f>
        <v>13</v>
      </c>
      <c r="AH110" s="15">
        <f>VLOOKUP($A110,Courses!$A$2:$P$268,12,FALSE)</f>
        <v>2</v>
      </c>
      <c r="AI110" s="15">
        <f>VLOOKUP($A110,Courses!$A$2:$P$268,13,FALSE)</f>
        <v>256</v>
      </c>
      <c r="AJ110" s="15">
        <f>VLOOKUP($A110,Courses!$A$2:$P$268,14,FALSE)</f>
        <v>0</v>
      </c>
      <c r="AK110" s="15">
        <f>VLOOKUP($A110,Courses!$A$2:$P$268,15,FALSE)</f>
        <v>0</v>
      </c>
      <c r="AL110" s="15">
        <f>VLOOKUP($A110,Courses!$A$2:$P$268,16,FALSE)</f>
        <v>7</v>
      </c>
    </row>
    <row r="111" spans="1:38">
      <c r="A111" s="13" t="str">
        <f>CONCATENATE(D111,H111)</f>
        <v>ECON7310S2</v>
      </c>
      <c r="B111" s="89" t="s">
        <v>134</v>
      </c>
      <c r="C111" s="70">
        <v>2020</v>
      </c>
      <c r="D111" s="52" t="s">
        <v>94</v>
      </c>
      <c r="E111" s="13" t="str">
        <f>IF(VLOOKUP($A111,Courses!$A$2:$F$268,3,FALSE)=0,"",VLOOKUP($A111,Courses!$A$2:$F$268,3,FALSE))</f>
        <v/>
      </c>
      <c r="F111" s="13" t="str">
        <f>IF(VLOOKUP($A111,Courses!$A$2:$F$268,4,FALSE)=0,"",VLOOKUP($A111,Courses!$A$2:$F$268,4,FALSE))</f>
        <v/>
      </c>
      <c r="G111" s="13" t="str">
        <f>VLOOKUP($A111,Courses!$A$2:$F$268,5,FALSE)</f>
        <v>Elements of Econometrics</v>
      </c>
      <c r="H111" s="70" t="s">
        <v>254</v>
      </c>
      <c r="I111" s="21" t="s">
        <v>252</v>
      </c>
      <c r="J111" s="70" t="s">
        <v>252</v>
      </c>
      <c r="L111" s="70">
        <v>1</v>
      </c>
      <c r="M111" s="71">
        <v>13</v>
      </c>
      <c r="N111" s="21">
        <v>1</v>
      </c>
      <c r="O111" s="70">
        <v>12</v>
      </c>
      <c r="P111" s="12">
        <f>IF($I111="Y",(wCCH1+wCCH2*$AJ111)*($AE111*$AF111)+(1-$AC111)*MIN(wCCH3*$AI111,maxCCH) + $AC111*MIN(wCCH4*$AI111,maxCCH),0)</f>
        <v>43.234999999999999</v>
      </c>
      <c r="Q111" s="12">
        <f>IF($J111="Y",(wTCH1+wTCH2*IF($K111="Y",1,0))*$AG111*$AH111+(1-$AC111)*MIN(wTCH3*$AI111,maxTCH) + $AC111*MIN(wTCH4*$AI111,maxTCH),0)</f>
        <v>33.9664</v>
      </c>
      <c r="R111" s="10">
        <f>(wOLH1+wOLH2*IF($K111="Y",1,0)+wOLH3*$AD111)*$T111 + wRLH*$U111</f>
        <v>78</v>
      </c>
      <c r="S111" s="10">
        <f>wOTH*$V111 + wRTH*$W111</f>
        <v>24</v>
      </c>
      <c r="T111" s="10">
        <f>IF($L111&gt;0,$M111*$AF111,0)</f>
        <v>26</v>
      </c>
      <c r="U111" s="10">
        <f>IF($L111&gt;1,($L111-1)*$M111*$AF111,0)</f>
        <v>0</v>
      </c>
      <c r="V111" s="10">
        <f>IF($N111&gt;0,$O111*$AH111,0)</f>
        <v>24</v>
      </c>
      <c r="W111" s="10">
        <f>IF($N111&gt;1,($N111-1)*$O111*$AH111,0)</f>
        <v>0</v>
      </c>
      <c r="X111" s="12">
        <f>(wAPH1+wAPH2*IF($K111="Y",1,0)+wAPH3*$AJ111)*IF($AE111&gt;0,$M111/$AE111,0)</f>
        <v>50</v>
      </c>
      <c r="Y111" s="33">
        <f>wCMH*MIN($AI111,maxCMH)*IF($AE111&gt;0,$M111/$AE111,1)</f>
        <v>15</v>
      </c>
      <c r="Z111" s="12">
        <f>wCACH1*($T111+$V111) +((1-$AC111)*MIN(wCACH2*$AI111,maxCACH) + $AC111*MIN(wCACH3*$AI111,maxCACH))*IF($AE111&gt;0,$M111/$AE111,1)</f>
        <v>67.234999999999999</v>
      </c>
      <c r="AA111" s="12">
        <f>SUM($P111:$Z111)</f>
        <v>361.43640000000005</v>
      </c>
      <c r="AB111" s="10">
        <f>ROUND(AA111/172.5,1)</f>
        <v>2.1</v>
      </c>
      <c r="AC111" s="14">
        <f>IF(VLOOKUP($A111,Courses!$A$2:$P$268,7,FALSE)="Y",1,0)</f>
        <v>1</v>
      </c>
      <c r="AD111" s="14">
        <f>VLOOKUP($A111,Courses!$A$2:$P$268,8,FALSE)</f>
        <v>0</v>
      </c>
      <c r="AE111" s="14">
        <f>VLOOKUP($A111,Courses!$A$2:$P$268,9,FALSE)</f>
        <v>13</v>
      </c>
      <c r="AF111" s="14">
        <f>VLOOKUP($A111,Courses!$A$2:$P$268,10,FALSE)</f>
        <v>2</v>
      </c>
      <c r="AG111" s="14">
        <f>VLOOKUP($A111,Courses!$A$2:$P$268,11,FALSE)</f>
        <v>13</v>
      </c>
      <c r="AH111" s="15">
        <f>VLOOKUP($A111,Courses!$A$2:$P$268,12,FALSE)</f>
        <v>2</v>
      </c>
      <c r="AI111" s="15">
        <f>VLOOKUP($A111,Courses!$A$2:$P$268,13,FALSE)</f>
        <v>383</v>
      </c>
      <c r="AJ111" s="15">
        <f>VLOOKUP($A111,Courses!$A$2:$P$268,14,FALSE)</f>
        <v>0</v>
      </c>
      <c r="AK111" s="15">
        <f>VLOOKUP($A111,Courses!$A$2:$P$268,15,FALSE)</f>
        <v>0</v>
      </c>
      <c r="AL111" s="15">
        <f>VLOOKUP($A111,Courses!$A$2:$P$268,16,FALSE)</f>
        <v>10</v>
      </c>
    </row>
    <row r="112" spans="1:38">
      <c r="A112" s="13" t="str">
        <f>CONCATENATE(D112,H112)</f>
        <v>ECON7321S1</v>
      </c>
      <c r="B112" s="89" t="s">
        <v>136</v>
      </c>
      <c r="C112" s="71">
        <v>2020</v>
      </c>
      <c r="D112" s="52" t="s">
        <v>153</v>
      </c>
      <c r="E112" s="13" t="str">
        <f>IF(VLOOKUP($A112,Courses!$A$2:$F$268,3,FALSE)=0,"",VLOOKUP($A112,Courses!$A$2:$F$268,3,FALSE))</f>
        <v/>
      </c>
      <c r="F112" s="13" t="str">
        <f>IF(VLOOKUP($A112,Courses!$A$2:$F$268,4,FALSE)=0,"",VLOOKUP($A112,Courses!$A$2:$F$268,4,FALSE))</f>
        <v/>
      </c>
      <c r="G112" s="13" t="str">
        <f>VLOOKUP($A112,Courses!$A$2:$F$268,5,FALSE)</f>
        <v>Stat Theory for Economists</v>
      </c>
      <c r="H112" s="70" t="s">
        <v>253</v>
      </c>
      <c r="I112" s="21" t="s">
        <v>252</v>
      </c>
      <c r="J112" s="70" t="s">
        <v>252</v>
      </c>
      <c r="L112" s="120">
        <v>1</v>
      </c>
      <c r="M112" s="71">
        <v>13</v>
      </c>
      <c r="N112" s="21"/>
      <c r="O112" s="21"/>
      <c r="P112" s="12">
        <f>IF($I112="Y",(wCCH1+wCCH2*$AJ112)*($AE112*$AF112)+(1-$AC112)*MIN(wCCH3*$AI112,maxCCH) + $AC112*MIN(wCCH4*$AI112,maxCCH),0)</f>
        <v>29.240000000000002</v>
      </c>
      <c r="Q112" s="12">
        <f>IF($J112="Y",(wTCH1+wTCH2*IF($K112="Y",1,0))*$AG112*$AH112+(1-$AC112)*MIN(wTCH3*$AI112,maxTCH) + $AC112*MIN(wTCH4*$AI112,maxTCH),0)</f>
        <v>25.5</v>
      </c>
      <c r="R112" s="10">
        <f>(wOLH1+wOLH2*IF($K112="Y",1,0)+wOLH3*$AD112)*$T112 + wRLH*$U112</f>
        <v>78</v>
      </c>
      <c r="S112" s="10">
        <f>wOTH*$V112 + wRTH*$W112</f>
        <v>0</v>
      </c>
      <c r="T112" s="10">
        <f>IF($L112&gt;0,$M112*$AF112,0)</f>
        <v>26</v>
      </c>
      <c r="U112" s="10">
        <f>IF($L112&gt;1,($L112-1)*$M112*$AF112,0)</f>
        <v>0</v>
      </c>
      <c r="V112" s="10">
        <f>IF($N112&gt;0,$O112*$AH112,0)</f>
        <v>0</v>
      </c>
      <c r="W112" s="10">
        <f>IF($N112&gt;1,($N112-1)*$O112*$AH112,0)</f>
        <v>0</v>
      </c>
      <c r="X112" s="12">
        <f>(wAPH1+wAPH2*IF($K112="Y",1,0)+wAPH3*$AJ112)*IF($AE112&gt;0,$M112/$AE112,0)</f>
        <v>50</v>
      </c>
      <c r="Y112" s="33">
        <f>wCMH*MIN($AI112,maxCMH)*IF($AE112&gt;0,$M112/$AE112,1)</f>
        <v>15</v>
      </c>
      <c r="Z112" s="12">
        <f>wCACH1*($T112+$V112) +((1-$AC112)*MIN(wCACH2*$AI112,maxCACH) + $AC112*MIN(wCACH3*$AI112,maxCACH))*IF($AE112&gt;0,$M112/$AE112,1)</f>
        <v>29.240000000000002</v>
      </c>
      <c r="AA112" s="12">
        <f>SUM($P112:$Z112)</f>
        <v>252.98000000000002</v>
      </c>
      <c r="AB112" s="10">
        <f>ROUND(AA112/172.5,1)</f>
        <v>1.5</v>
      </c>
      <c r="AC112" s="14">
        <f>IF(VLOOKUP($A112,Courses!$A$2:$P$268,7,FALSE)="Y",1,0)</f>
        <v>0</v>
      </c>
      <c r="AD112" s="14">
        <f>VLOOKUP($A112,Courses!$A$2:$P$268,8,FALSE)</f>
        <v>0</v>
      </c>
      <c r="AE112" s="14">
        <f>VLOOKUP($A112,Courses!$A$2:$P$268,9,FALSE)</f>
        <v>13</v>
      </c>
      <c r="AF112" s="14">
        <f>VLOOKUP($A112,Courses!$A$2:$P$268,10,FALSE)</f>
        <v>2</v>
      </c>
      <c r="AG112" s="14">
        <f>VLOOKUP($A112,Courses!$A$2:$P$268,11,FALSE)</f>
        <v>12</v>
      </c>
      <c r="AH112" s="15">
        <f>VLOOKUP($A112,Courses!$A$2:$P$268,12,FALSE)</f>
        <v>2</v>
      </c>
      <c r="AI112" s="15">
        <f>VLOOKUP($A112,Courses!$A$2:$P$268,13,FALSE)</f>
        <v>24</v>
      </c>
      <c r="AJ112" s="15">
        <f>VLOOKUP($A112,Courses!$A$2:$P$268,14,FALSE)</f>
        <v>0</v>
      </c>
      <c r="AK112" s="15">
        <f>VLOOKUP($A112,Courses!$A$2:$P$268,15,FALSE)</f>
        <v>0</v>
      </c>
      <c r="AL112" s="15">
        <f>VLOOKUP($A112,Courses!$A$2:$P$268,16,FALSE)</f>
        <v>1</v>
      </c>
    </row>
    <row r="113" spans="1:38">
      <c r="A113" s="13" t="str">
        <f>CONCATENATE(D113,H113)</f>
        <v>ECON7322S2</v>
      </c>
      <c r="B113" s="89" t="s">
        <v>16</v>
      </c>
      <c r="C113" s="71">
        <v>2020</v>
      </c>
      <c r="D113" s="80" t="s">
        <v>92</v>
      </c>
      <c r="E113" s="13" t="str">
        <f>IF(VLOOKUP($A113,Courses!$A$2:$F$268,3,FALSE)=0,"",VLOOKUP($A113,Courses!$A$2:$F$268,3,FALSE))</f>
        <v/>
      </c>
      <c r="F113" s="13" t="str">
        <f>IF(VLOOKUP($A113,Courses!$A$2:$F$268,4,FALSE)=0,"",VLOOKUP($A113,Courses!$A$2:$F$268,4,FALSE))</f>
        <v/>
      </c>
      <c r="G113" s="13" t="str">
        <f>VLOOKUP($A113,Courses!$A$2:$F$268,5,FALSE)</f>
        <v>Bus &amp; Econ Decision Tech</v>
      </c>
      <c r="H113" s="70" t="s">
        <v>254</v>
      </c>
      <c r="I113" s="21" t="s">
        <v>252</v>
      </c>
      <c r="J113" s="70" t="s">
        <v>252</v>
      </c>
      <c r="L113" s="120">
        <v>1</v>
      </c>
      <c r="M113" s="71">
        <v>13</v>
      </c>
      <c r="N113" s="21"/>
      <c r="O113" s="21"/>
      <c r="P113" s="12">
        <f>IF($I113="Y",(wCCH1+wCCH2*$AJ113)*($AE113*$AF113)+(1-$AC113)*MIN(wCCH3*$AI113,maxCCH) + $AC113*MIN(wCCH4*$AI113,maxCCH),0)</f>
        <v>40.85</v>
      </c>
      <c r="Q113" s="12">
        <f>IF($J113="Y",(wTCH1+wTCH2*IF($K113="Y",1,0))*$AG113*$AH113+(1-$AC113)*MIN(wTCH3*$AI113,maxTCH) + $AC113*MIN(wTCH4*$AI113,maxTCH),0)</f>
        <v>24.875</v>
      </c>
      <c r="R113" s="10">
        <f>(wOLH1+wOLH2*IF($K113="Y",1,0)+wOLH3*$AD113)*$T113 + wRLH*$U113</f>
        <v>78</v>
      </c>
      <c r="S113" s="10">
        <f>wOTH*$V113 + wRTH*$W113</f>
        <v>0</v>
      </c>
      <c r="T113" s="10">
        <f>IF($L113&gt;0,$M113*$AF113,0)</f>
        <v>26</v>
      </c>
      <c r="U113" s="10">
        <f>IF($L113&gt;1,($L113-1)*$M113*$AF113,0)</f>
        <v>0</v>
      </c>
      <c r="V113" s="10">
        <f>IF($N113&gt;0,$O113*$AH113,0)</f>
        <v>0</v>
      </c>
      <c r="W113" s="10">
        <f>IF($N113&gt;1,($N113-1)*$O113*$AH113,0)</f>
        <v>0</v>
      </c>
      <c r="X113" s="12">
        <f>(wAPH1+wAPH2*IF($K113="Y",1,0)+wAPH3*$AJ113)*IF($AE113&gt;0,$M113/$AE113,0)</f>
        <v>50</v>
      </c>
      <c r="Y113" s="33">
        <f>wCMH*MIN($AI113,maxCMH)*IF($AE113&gt;0,$M113/$AE113,1)</f>
        <v>15</v>
      </c>
      <c r="Z113" s="12">
        <f>wCACH1*($T113+$V113) +((1-$AC113)*MIN(wCACH2*$AI113,maxCACH) + $AC113*MIN(wCACH3*$AI113,maxCACH))*IF($AE113&gt;0,$M113/$AE113,1)</f>
        <v>40.85</v>
      </c>
      <c r="AA113" s="12">
        <f>SUM($P113:$Z113)</f>
        <v>275.57499999999999</v>
      </c>
      <c r="AB113" s="10">
        <f>ROUND(AA113/172.5,1)</f>
        <v>1.6</v>
      </c>
      <c r="AC113" s="14">
        <f>IF(VLOOKUP($A113,Courses!$A$2:$P$268,7,FALSE)="Y",1,0)</f>
        <v>0</v>
      </c>
      <c r="AD113" s="14">
        <f>VLOOKUP($A113,Courses!$A$2:$P$268,8,FALSE)</f>
        <v>0</v>
      </c>
      <c r="AE113" s="14">
        <f>VLOOKUP($A113,Courses!$A$2:$P$268,9,FALSE)</f>
        <v>13</v>
      </c>
      <c r="AF113" s="14">
        <f>VLOOKUP($A113,Courses!$A$2:$P$268,10,FALSE)</f>
        <v>2</v>
      </c>
      <c r="AG113" s="14">
        <f>VLOOKUP($A113,Courses!$A$2:$P$268,11,FALSE)</f>
        <v>12</v>
      </c>
      <c r="AH113" s="15">
        <f>VLOOKUP($A113,Courses!$A$2:$P$268,12,FALSE)</f>
        <v>1.5</v>
      </c>
      <c r="AI113" s="15">
        <f>VLOOKUP($A113,Courses!$A$2:$P$268,13,FALSE)</f>
        <v>110</v>
      </c>
      <c r="AJ113" s="15">
        <f>VLOOKUP($A113,Courses!$A$2:$P$268,14,FALSE)</f>
        <v>0</v>
      </c>
      <c r="AK113" s="15">
        <f>VLOOKUP($A113,Courses!$A$2:$P$268,15,FALSE)</f>
        <v>0</v>
      </c>
      <c r="AL113" s="15">
        <f>VLOOKUP($A113,Courses!$A$2:$P$268,16,FALSE)</f>
        <v>3</v>
      </c>
    </row>
    <row r="114" spans="1:38">
      <c r="A114" s="13" t="str">
        <f>CONCATENATE(D114,H114)</f>
        <v>ECON7331S2</v>
      </c>
      <c r="B114" s="89" t="s">
        <v>122</v>
      </c>
      <c r="C114" s="70">
        <v>2019</v>
      </c>
      <c r="D114" s="80" t="s">
        <v>150</v>
      </c>
      <c r="E114" s="13" t="str">
        <f>IF(VLOOKUP($A114,Courses!$A$2:$F$268,3,FALSE)=0,"",VLOOKUP($A114,Courses!$A$2:$F$268,3,FALSE))</f>
        <v/>
      </c>
      <c r="F114" s="13" t="str">
        <f>IF(VLOOKUP($A114,Courses!$A$2:$F$268,4,FALSE)=0,"",VLOOKUP($A114,Courses!$A$2:$F$268,4,FALSE))</f>
        <v/>
      </c>
      <c r="G114" s="13" t="str">
        <f>VLOOKUP($A114,Courses!$A$2:$F$268,5,FALSE)</f>
        <v>Econometric Theory</v>
      </c>
      <c r="H114" s="70" t="s">
        <v>254</v>
      </c>
      <c r="I114" s="21" t="s">
        <v>252</v>
      </c>
      <c r="J114" s="70" t="s">
        <v>252</v>
      </c>
      <c r="L114" s="120">
        <v>1</v>
      </c>
      <c r="M114" s="71">
        <v>13</v>
      </c>
      <c r="N114" s="21"/>
      <c r="O114" s="21"/>
      <c r="P114" s="12">
        <f>IF($I114="Y",(wCCH1+wCCH2*$AJ114)*($AE114*$AF114)+(1-$AC114)*MIN(wCCH3*$AI114,maxCCH) + $AC114*MIN(wCCH4*$AI114,maxCCH),0)</f>
        <v>27.08</v>
      </c>
      <c r="Q114" s="12">
        <f>IF($J114="Y",(wTCH1+wTCH2*IF($K114="Y",1,0))*$AG114*$AH114+(1-$AC114)*MIN(wTCH3*$AI114,maxTCH) + $AC114*MIN(wTCH4*$AI114,maxTCH),0)</f>
        <v>18.5</v>
      </c>
      <c r="R114" s="10">
        <f>(wOLH1+wOLH2*IF($K114="Y",1,0)+wOLH3*$AD114)*$T114 + wRLH*$U114</f>
        <v>78</v>
      </c>
      <c r="S114" s="10">
        <f>wOTH*$V114 + wRTH*$W114</f>
        <v>0</v>
      </c>
      <c r="T114" s="10">
        <f>IF($L114&gt;0,$M114*$AF114,0)</f>
        <v>26</v>
      </c>
      <c r="U114" s="10">
        <f>IF($L114&gt;1,($L114-1)*$M114*$AF114,0)</f>
        <v>0</v>
      </c>
      <c r="V114" s="10">
        <f>IF($N114&gt;0,$O114*$AH114,0)</f>
        <v>0</v>
      </c>
      <c r="W114" s="10">
        <f>IF($N114&gt;1,($N114-1)*$O114*$AH114,0)</f>
        <v>0</v>
      </c>
      <c r="X114" s="12">
        <f>(wAPH1+wAPH2*IF($K114="Y",1,0)+wAPH3*$AJ114)*IF($AE114&gt;0,$M114/$AE114,0)</f>
        <v>50</v>
      </c>
      <c r="Y114" s="33">
        <f>wCMH*MIN($AI114,maxCMH)*IF($AE114&gt;0,$M114/$AE114,1)</f>
        <v>8</v>
      </c>
      <c r="Z114" s="12">
        <f>wCACH1*($T114+$V114) +((1-$AC114)*MIN(wCACH2*$AI114,maxCACH) + $AC114*MIN(wCACH3*$AI114,maxCACH))*IF($AE114&gt;0,$M114/$AE114,1)</f>
        <v>27.08</v>
      </c>
      <c r="AA114" s="12">
        <f>SUM($P114:$Z114)</f>
        <v>234.65999999999997</v>
      </c>
      <c r="AB114" s="10">
        <f>ROUND(AA114/172.5,1)</f>
        <v>1.4</v>
      </c>
      <c r="AC114" s="14">
        <f>IF(VLOOKUP($A114,Courses!$A$2:$P$268,7,FALSE)="Y",1,0)</f>
        <v>0</v>
      </c>
      <c r="AD114" s="14">
        <f>VLOOKUP($A114,Courses!$A$2:$P$268,8,FALSE)</f>
        <v>0</v>
      </c>
      <c r="AE114" s="14">
        <f>VLOOKUP($A114,Courses!$A$2:$P$268,9,FALSE)</f>
        <v>13</v>
      </c>
      <c r="AF114" s="14">
        <f>VLOOKUP($A114,Courses!$A$2:$P$268,10,FALSE)</f>
        <v>2</v>
      </c>
      <c r="AG114" s="14">
        <f>VLOOKUP($A114,Courses!$A$2:$P$268,11,FALSE)</f>
        <v>12</v>
      </c>
      <c r="AH114" s="15">
        <f>VLOOKUP($A114,Courses!$A$2:$P$268,12,FALSE)</f>
        <v>1.5</v>
      </c>
      <c r="AI114" s="15">
        <f>VLOOKUP($A114,Courses!$A$2:$P$268,13,FALSE)</f>
        <v>8</v>
      </c>
      <c r="AJ114" s="15">
        <f>VLOOKUP($A114,Courses!$A$2:$P$268,14,FALSE)</f>
        <v>0</v>
      </c>
      <c r="AK114" s="15">
        <f>VLOOKUP($A114,Courses!$A$2:$P$268,15,FALSE)</f>
        <v>0</v>
      </c>
      <c r="AL114" s="15">
        <f>VLOOKUP($A114,Courses!$A$2:$P$268,16,FALSE)</f>
        <v>1</v>
      </c>
    </row>
    <row r="115" spans="1:38">
      <c r="A115" s="13" t="str">
        <f>CONCATENATE(D115,H115)</f>
        <v>ECON7333S2</v>
      </c>
      <c r="B115" s="89" t="s">
        <v>130</v>
      </c>
      <c r="C115" s="83">
        <v>2020</v>
      </c>
      <c r="D115" s="80" t="s">
        <v>237</v>
      </c>
      <c r="E115" s="13" t="str">
        <f>IF(VLOOKUP($A115,Courses!$A$2:$F$268,3,FALSE)=0,"",VLOOKUP($A115,Courses!$A$2:$F$268,3,FALSE))</f>
        <v/>
      </c>
      <c r="F115" s="13" t="str">
        <f>IF(VLOOKUP($A115,Courses!$A$2:$F$268,4,FALSE)=0,"",VLOOKUP($A115,Courses!$A$2:$F$268,4,FALSE))</f>
        <v/>
      </c>
      <c r="G115" s="13" t="str">
        <f>VLOOKUP($A115,Courses!$A$2:$F$268,5,FALSE)</f>
        <v>Big Data &amp; Machine Learning for Econ &amp; Finance</v>
      </c>
      <c r="H115" s="70" t="s">
        <v>254</v>
      </c>
      <c r="I115" s="21" t="s">
        <v>252</v>
      </c>
      <c r="J115" s="70" t="s">
        <v>252</v>
      </c>
      <c r="L115" s="120">
        <v>1</v>
      </c>
      <c r="M115" s="71">
        <v>13</v>
      </c>
      <c r="N115" s="21"/>
      <c r="O115" s="21"/>
      <c r="P115" s="12">
        <f>IF($I115="Y",(wCCH1+wCCH2*$AJ115)*($AE115*$AF115)+(1-$AC115)*MIN(wCCH3*$AI115,maxCCH) + $AC115*MIN(wCCH4*$AI115,maxCCH),0)</f>
        <v>41.93</v>
      </c>
      <c r="Q115" s="12">
        <f>IF($J115="Y",(wTCH1+wTCH2*IF($K115="Y",1,0))*$AG115*$AH115+(1-$AC115)*MIN(wTCH3*$AI115,maxTCH) + $AC115*MIN(wTCH4*$AI115,maxTCH),0)</f>
        <v>31.375</v>
      </c>
      <c r="R115" s="10">
        <f>(wOLH1+wOLH2*IF($K115="Y",1,0)+wOLH3*$AD115)*$T115 + wRLH*$U115</f>
        <v>78</v>
      </c>
      <c r="S115" s="10">
        <f>wOTH*$V115 + wRTH*$W115</f>
        <v>0</v>
      </c>
      <c r="T115" s="10">
        <f>IF($L115&gt;0,$M115*$AF115,0)</f>
        <v>26</v>
      </c>
      <c r="U115" s="10">
        <f>IF($L115&gt;1,($L115-1)*$M115*$AF115,0)</f>
        <v>0</v>
      </c>
      <c r="V115" s="10">
        <f>IF($N115&gt;0,$O115*$AH115,0)</f>
        <v>0</v>
      </c>
      <c r="W115" s="10">
        <f>IF($N115&gt;1,($N115-1)*$O115*$AH115,0)</f>
        <v>0</v>
      </c>
      <c r="X115" s="12">
        <f>(wAPH1+wAPH2*IF($K115="Y",1,0)+wAPH3*$AJ115)*IF($AE115&gt;0,$M115/$AE115,0)</f>
        <v>50</v>
      </c>
      <c r="Y115" s="33">
        <f>wCMH*MIN($AI115,maxCMH)*IF($AE115&gt;0,$M115/$AE115,1)</f>
        <v>15</v>
      </c>
      <c r="Z115" s="12">
        <f>wCACH1*($T115+$V115) +((1-$AC115)*MIN(wCACH2*$AI115,maxCACH) + $AC115*MIN(wCACH3*$AI115,maxCACH))*IF($AE115&gt;0,$M115/$AE115,1)</f>
        <v>41.93</v>
      </c>
      <c r="AA115" s="12">
        <f>SUM($P115:$Z115)</f>
        <v>284.23500000000001</v>
      </c>
      <c r="AB115" s="10">
        <f>ROUND(AA115/172.5,1)</f>
        <v>1.6</v>
      </c>
      <c r="AC115" s="14">
        <f>IF(VLOOKUP($A115,Courses!$A$2:$P$268,7,FALSE)="Y",1,0)</f>
        <v>0</v>
      </c>
      <c r="AD115" s="14">
        <f>VLOOKUP($A115,Courses!$A$2:$P$268,8,FALSE)</f>
        <v>0</v>
      </c>
      <c r="AE115" s="14">
        <f>VLOOKUP($A115,Courses!$A$2:$P$268,9,FALSE)</f>
        <v>13</v>
      </c>
      <c r="AF115" s="14">
        <f>VLOOKUP($A115,Courses!$A$2:$P$268,10,FALSE)</f>
        <v>2</v>
      </c>
      <c r="AG115" s="14">
        <f>VLOOKUP($A115,Courses!$A$2:$P$268,11,FALSE)</f>
        <v>12</v>
      </c>
      <c r="AH115" s="15">
        <f>VLOOKUP($A115,Courses!$A$2:$P$268,12,FALSE)</f>
        <v>2</v>
      </c>
      <c r="AI115" s="15">
        <f>VLOOKUP($A115,Courses!$A$2:$P$268,13,FALSE)</f>
        <v>118</v>
      </c>
      <c r="AJ115" s="15">
        <f>VLOOKUP($A115,Courses!$A$2:$P$268,14,FALSE)</f>
        <v>0</v>
      </c>
      <c r="AK115" s="15">
        <f>VLOOKUP($A115,Courses!$A$2:$P$268,15,FALSE)</f>
        <v>0</v>
      </c>
      <c r="AL115" s="15">
        <f>VLOOKUP($A115,Courses!$A$2:$P$268,16,FALSE)</f>
        <v>3</v>
      </c>
    </row>
    <row r="116" spans="1:38">
      <c r="A116" s="13" t="str">
        <f>CONCATENATE(D116,H116)</f>
        <v>ECON7341S1</v>
      </c>
      <c r="B116" s="89" t="s">
        <v>16</v>
      </c>
      <c r="C116" s="70">
        <v>2019</v>
      </c>
      <c r="D116" s="80" t="s">
        <v>170</v>
      </c>
      <c r="E116" s="13" t="str">
        <f>IF(VLOOKUP($A116,Courses!$A$2:$F$268,3,FALSE)=0,"",VLOOKUP($A116,Courses!$A$2:$F$268,3,FALSE))</f>
        <v/>
      </c>
      <c r="F116" s="13" t="str">
        <f>IF(VLOOKUP($A116,Courses!$A$2:$F$268,4,FALSE)=0,"",VLOOKUP($A116,Courses!$A$2:$F$268,4,FALSE))</f>
        <v/>
      </c>
      <c r="G116" s="13" t="str">
        <f>VLOOKUP($A116,Courses!$A$2:$F$268,5,FALSE)</f>
        <v>Productivity and Efficiency Analysis</v>
      </c>
      <c r="H116" s="70" t="s">
        <v>253</v>
      </c>
      <c r="I116" s="21" t="s">
        <v>252</v>
      </c>
      <c r="J116" s="70" t="s">
        <v>252</v>
      </c>
      <c r="L116" s="120">
        <v>1</v>
      </c>
      <c r="M116" s="71">
        <v>13</v>
      </c>
      <c r="N116" s="21"/>
      <c r="O116" s="21"/>
      <c r="P116" s="12">
        <f>IF($I116="Y",(wCCH1+wCCH2*$AJ116)*($AE116*$AF116)+(1-$AC116)*MIN(wCCH3*$AI116,maxCCH) + $AC116*MIN(wCCH4*$AI116,maxCCH),0)</f>
        <v>28.16</v>
      </c>
      <c r="Q116" s="12">
        <f>IF($J116="Y",(wTCH1+wTCH2*IF($K116="Y",1,0))*$AG116*$AH116+(1-$AC116)*MIN(wTCH3*$AI116,maxTCH) + $AC116*MIN(wTCH4*$AI116,maxTCH),0)</f>
        <v>27</v>
      </c>
      <c r="R116" s="10">
        <f>(wOLH1+wOLH2*IF($K116="Y",1,0)+wOLH3*$AD116)*$T116 + wRLH*$U116</f>
        <v>78</v>
      </c>
      <c r="S116" s="10">
        <f>wOTH*$V116 + wRTH*$W116</f>
        <v>0</v>
      </c>
      <c r="T116" s="10">
        <f>IF($L116&gt;0,$M116*$AF116,0)</f>
        <v>26</v>
      </c>
      <c r="U116" s="10">
        <f>IF($L116&gt;1,($L116-1)*$M116*$AF116,0)</f>
        <v>0</v>
      </c>
      <c r="V116" s="10">
        <f>IF($N116&gt;0,$O116*$AH116,0)</f>
        <v>0</v>
      </c>
      <c r="W116" s="10">
        <f>IF($N116&gt;1,($N116-1)*$O116*$AH116,0)</f>
        <v>0</v>
      </c>
      <c r="X116" s="12">
        <f>(wAPH1+wAPH2*IF($K116="Y",1,0)+wAPH3*$AJ116)*IF($AE116&gt;0,$M116/$AE116,0)</f>
        <v>50</v>
      </c>
      <c r="Y116" s="33">
        <f>wCMH*MIN($AI116,maxCMH)*IF($AE116&gt;0,$M116/$AE116,1)</f>
        <v>15</v>
      </c>
      <c r="Z116" s="12">
        <f>wCACH1*($T116+$V116) +((1-$AC116)*MIN(wCACH2*$AI116,maxCACH) + $AC116*MIN(wCACH3*$AI116,maxCACH))*IF($AE116&gt;0,$M116/$AE116,1)</f>
        <v>28.16</v>
      </c>
      <c r="AA116" s="12">
        <f>SUM($P116:$Z116)</f>
        <v>252.32</v>
      </c>
      <c r="AB116" s="10">
        <f>ROUND(AA116/172.5,1)</f>
        <v>1.5</v>
      </c>
      <c r="AC116" s="14">
        <f>IF(VLOOKUP($A116,Courses!$A$2:$P$268,7,FALSE)="Y",1,0)</f>
        <v>0</v>
      </c>
      <c r="AD116" s="14">
        <f>VLOOKUP($A116,Courses!$A$2:$P$268,8,FALSE)</f>
        <v>0</v>
      </c>
      <c r="AE116" s="14">
        <f>VLOOKUP($A116,Courses!$A$2:$P$268,9,FALSE)</f>
        <v>13</v>
      </c>
      <c r="AF116" s="14">
        <f>VLOOKUP($A116,Courses!$A$2:$P$268,10,FALSE)</f>
        <v>2</v>
      </c>
      <c r="AG116" s="14">
        <f>VLOOKUP($A116,Courses!$A$2:$P$268,11,FALSE)</f>
        <v>13</v>
      </c>
      <c r="AH116" s="15">
        <f>VLOOKUP($A116,Courses!$A$2:$P$268,12,FALSE)</f>
        <v>2</v>
      </c>
      <c r="AI116" s="15">
        <f>VLOOKUP($A116,Courses!$A$2:$P$268,13,FALSE)</f>
        <v>16</v>
      </c>
      <c r="AJ116" s="15">
        <f>VLOOKUP($A116,Courses!$A$2:$P$268,14,FALSE)</f>
        <v>0</v>
      </c>
      <c r="AK116" s="15">
        <f>VLOOKUP($A116,Courses!$A$2:$P$268,15,FALSE)</f>
        <v>0</v>
      </c>
      <c r="AL116" s="15">
        <f>VLOOKUP($A116,Courses!$A$2:$P$268,16,FALSE)</f>
        <v>1</v>
      </c>
    </row>
    <row r="117" spans="1:38">
      <c r="A117" s="13" t="str">
        <f>CONCATENATE(D117,H117)</f>
        <v>ECON7350S1</v>
      </c>
      <c r="B117" s="134" t="s">
        <v>129</v>
      </c>
      <c r="C117" s="83">
        <v>2020</v>
      </c>
      <c r="D117" s="80" t="s">
        <v>219</v>
      </c>
      <c r="E117" s="13" t="str">
        <f>IF(VLOOKUP($A117,Courses!$A$2:$F$268,3,FALSE)=0,"",VLOOKUP($A117,Courses!$A$2:$F$268,3,FALSE))</f>
        <v/>
      </c>
      <c r="F117" s="13" t="str">
        <f>IF(VLOOKUP($A117,Courses!$A$2:$F$268,4,FALSE)=0,"",VLOOKUP($A117,Courses!$A$2:$F$268,4,FALSE))</f>
        <v/>
      </c>
      <c r="G117" s="13" t="str">
        <f>VLOOKUP($A117,Courses!$A$2:$F$268,5,FALSE)</f>
        <v>Applied Econometrics for Macro &amp; Finance</v>
      </c>
      <c r="H117" s="70" t="s">
        <v>253</v>
      </c>
      <c r="I117" s="21" t="s">
        <v>252</v>
      </c>
      <c r="J117" s="70" t="s">
        <v>252</v>
      </c>
      <c r="K117" s="135" t="s">
        <v>252</v>
      </c>
      <c r="L117" s="120">
        <v>1</v>
      </c>
      <c r="M117" s="71">
        <v>13</v>
      </c>
      <c r="N117" s="21"/>
      <c r="O117" s="21"/>
      <c r="P117" s="12">
        <f>IF($I117="Y",(wCCH1+wCCH2*$AJ117)*($AE117*$AF117)+(1-$AC117)*MIN(wCCH3*$AI117,maxCCH) + $AC117*MIN(wCCH4*$AI117,maxCCH),0)</f>
        <v>35.045000000000002</v>
      </c>
      <c r="Q117" s="12">
        <f>IF($J117="Y",(wTCH1+wTCH2*IF($K117="Y",1,0))*$AG117*$AH117+(1-$AC117)*MIN(wTCH3*$AI117,maxTCH) + $AC117*MIN(wTCH4*$AI117,maxTCH),0)</f>
        <v>56.1875</v>
      </c>
      <c r="R117" s="10">
        <f>(wOLH1+wOLH2*IF($K117="Y",1,0)+wOLH3*$AD117)*$T117 + wRLH*$U117</f>
        <v>130</v>
      </c>
      <c r="S117" s="10">
        <f>wOTH*$V117 + wRTH*$W117</f>
        <v>0</v>
      </c>
      <c r="T117" s="10">
        <f>IF($L117&gt;0,$M117*$AF117,0)</f>
        <v>26</v>
      </c>
      <c r="U117" s="10">
        <f>IF($L117&gt;1,($L117-1)*$M117*$AF117,0)</f>
        <v>0</v>
      </c>
      <c r="V117" s="10">
        <f>IF($N117&gt;0,$O117*$AH117,0)</f>
        <v>0</v>
      </c>
      <c r="W117" s="10">
        <f>IF($N117&gt;1,($N117-1)*$O117*$AH117,0)</f>
        <v>0</v>
      </c>
      <c r="X117" s="12">
        <f>(wAPH1+wAPH2*IF($K117="Y",1,0)+wAPH3*$AJ117)*IF($AE117&gt;0,$M117/$AE117,0)</f>
        <v>70</v>
      </c>
      <c r="Y117" s="33">
        <f>wCMH*MIN($AI117,maxCMH)*IF($AE117&gt;0,$M117/$AE117,1)</f>
        <v>15</v>
      </c>
      <c r="Z117" s="12">
        <f>wCACH1*($T117+$V117) +((1-$AC117)*MIN(wCACH2*$AI117,maxCACH) + $AC117*MIN(wCACH3*$AI117,maxCACH))*IF($AE117&gt;0,$M117/$AE117,1)</f>
        <v>35.045000000000002</v>
      </c>
      <c r="AA117" s="12">
        <f>SUM($P117:$Z117)</f>
        <v>367.27750000000003</v>
      </c>
      <c r="AB117" s="10">
        <f>ROUND(AA117/172.5,1)</f>
        <v>2.1</v>
      </c>
      <c r="AC117" s="14">
        <f>IF(VLOOKUP($A117,Courses!$A$2:$P$268,7,FALSE)="Y",1,0)</f>
        <v>0</v>
      </c>
      <c r="AD117" s="14">
        <f>VLOOKUP($A117,Courses!$A$2:$P$268,8,FALSE)</f>
        <v>0</v>
      </c>
      <c r="AE117" s="14">
        <f>VLOOKUP($A117,Courses!$A$2:$P$268,9,FALSE)</f>
        <v>13</v>
      </c>
      <c r="AF117" s="14">
        <f>VLOOKUP($A117,Courses!$A$2:$P$268,10,FALSE)</f>
        <v>2</v>
      </c>
      <c r="AG117" s="14">
        <f>VLOOKUP($A117,Courses!$A$2:$P$268,11,FALSE)</f>
        <v>13</v>
      </c>
      <c r="AH117" s="15">
        <f>VLOOKUP($A117,Courses!$A$2:$P$268,12,FALSE)</f>
        <v>2</v>
      </c>
      <c r="AI117" s="15">
        <f>VLOOKUP($A117,Courses!$A$2:$P$268,13,FALSE)</f>
        <v>67</v>
      </c>
      <c r="AJ117" s="15">
        <f>VLOOKUP($A117,Courses!$A$2:$P$268,14,FALSE)</f>
        <v>0</v>
      </c>
      <c r="AK117" s="15">
        <f>VLOOKUP($A117,Courses!$A$2:$P$268,15,FALSE)</f>
        <v>0</v>
      </c>
      <c r="AL117" s="15">
        <f>VLOOKUP($A117,Courses!$A$2:$P$268,16,FALSE)</f>
        <v>2</v>
      </c>
    </row>
    <row r="118" spans="1:38">
      <c r="A118" s="13" t="str">
        <f>CONCATENATE(D118,H118)</f>
        <v>ECON7360S2</v>
      </c>
      <c r="B118" s="89" t="s">
        <v>132</v>
      </c>
      <c r="C118" s="70">
        <v>2020</v>
      </c>
      <c r="D118" s="80" t="s">
        <v>26</v>
      </c>
      <c r="E118" s="13" t="str">
        <f>IF(VLOOKUP($A118,Courses!$A$2:$F$268,3,FALSE)=0,"",VLOOKUP($A118,Courses!$A$2:$F$268,3,FALSE))</f>
        <v/>
      </c>
      <c r="F118" s="13" t="str">
        <f>IF(VLOOKUP($A118,Courses!$A$2:$F$268,4,FALSE)=0,"",VLOOKUP($A118,Courses!$A$2:$F$268,4,FALSE))</f>
        <v/>
      </c>
      <c r="G118" s="13" t="str">
        <f>VLOOKUP($A118,Courses!$A$2:$F$268,5,FALSE)</f>
        <v>Causal Inference for Microeconometrics</v>
      </c>
      <c r="H118" s="70" t="s">
        <v>254</v>
      </c>
      <c r="I118" s="21" t="s">
        <v>252</v>
      </c>
      <c r="J118" s="70" t="s">
        <v>252</v>
      </c>
      <c r="L118" s="120">
        <v>1</v>
      </c>
      <c r="M118" s="71">
        <v>13</v>
      </c>
      <c r="N118" s="21"/>
      <c r="O118" s="21"/>
      <c r="P118" s="12">
        <f>IF($I118="Y",(wCCH1+wCCH2*$AJ118)*($AE118*$AF118)+(1-$AC118)*MIN(wCCH3*$AI118,maxCCH) + $AC118*MIN(wCCH4*$AI118,maxCCH),0)</f>
        <v>35.855000000000004</v>
      </c>
      <c r="Q118" s="12">
        <f>IF($J118="Y",(wTCH1+wTCH2*IF($K118="Y",1,0))*$AG118*$AH118+(1-$AC118)*MIN(wTCH3*$AI118,maxTCH) + $AC118*MIN(wTCH4*$AI118,maxTCH),0)</f>
        <v>28.5625</v>
      </c>
      <c r="R118" s="10">
        <f>(wOLH1+wOLH2*IF($K118="Y",1,0)+wOLH3*$AD118)*$T118 + wRLH*$U118</f>
        <v>78</v>
      </c>
      <c r="S118" s="10">
        <f>wOTH*$V118 + wRTH*$W118</f>
        <v>0</v>
      </c>
      <c r="T118" s="10">
        <f>IF($L118&gt;0,$M118*$AF118,0)</f>
        <v>26</v>
      </c>
      <c r="U118" s="10">
        <f>IF($L118&gt;1,($L118-1)*$M118*$AF118,0)</f>
        <v>0</v>
      </c>
      <c r="V118" s="10">
        <f>IF($N118&gt;0,$O118*$AH118,0)</f>
        <v>0</v>
      </c>
      <c r="W118" s="10">
        <f>IF($N118&gt;1,($N118-1)*$O118*$AH118,0)</f>
        <v>0</v>
      </c>
      <c r="X118" s="12">
        <f>(wAPH1+wAPH2*IF($K118="Y",1,0)+wAPH3*$AJ118)*IF($AE118&gt;0,$M118/$AE118,0)</f>
        <v>50</v>
      </c>
      <c r="Y118" s="33">
        <f>wCMH*MIN($AI118,maxCMH)*IF($AE118&gt;0,$M118/$AE118,1)</f>
        <v>15</v>
      </c>
      <c r="Z118" s="12">
        <f>wCACH1*($T118+$V118) +((1-$AC118)*MIN(wCACH2*$AI118,maxCACH) + $AC118*MIN(wCACH3*$AI118,maxCACH))*IF($AE118&gt;0,$M118/$AE118,1)</f>
        <v>35.855000000000004</v>
      </c>
      <c r="AA118" s="12">
        <f>SUM($P118:$Z118)</f>
        <v>269.27250000000004</v>
      </c>
      <c r="AB118" s="10">
        <f>ROUND(AA118/172.5,1)</f>
        <v>1.6</v>
      </c>
      <c r="AC118" s="14">
        <f>IF(VLOOKUP($A118,Courses!$A$2:$P$268,7,FALSE)="Y",1,0)</f>
        <v>0</v>
      </c>
      <c r="AD118" s="14">
        <f>VLOOKUP($A118,Courses!$A$2:$P$268,8,FALSE)</f>
        <v>0</v>
      </c>
      <c r="AE118" s="14">
        <f>VLOOKUP($A118,Courses!$A$2:$P$268,9,FALSE)</f>
        <v>13</v>
      </c>
      <c r="AF118" s="14">
        <f>VLOOKUP($A118,Courses!$A$2:$P$268,10,FALSE)</f>
        <v>2</v>
      </c>
      <c r="AG118" s="14">
        <f>VLOOKUP($A118,Courses!$A$2:$P$268,11,FALSE)</f>
        <v>12</v>
      </c>
      <c r="AH118" s="15">
        <f>VLOOKUP($A118,Courses!$A$2:$P$268,12,FALSE)</f>
        <v>2</v>
      </c>
      <c r="AI118" s="15">
        <f>VLOOKUP($A118,Courses!$A$2:$P$268,13,FALSE)</f>
        <v>73</v>
      </c>
      <c r="AJ118" s="15">
        <f>VLOOKUP($A118,Courses!$A$2:$P$268,14,FALSE)</f>
        <v>0</v>
      </c>
      <c r="AK118" s="15">
        <f>VLOOKUP($A118,Courses!$A$2:$P$268,15,FALSE)</f>
        <v>0</v>
      </c>
      <c r="AL118" s="15">
        <f>VLOOKUP($A118,Courses!$A$2:$P$268,16,FALSE)</f>
        <v>2</v>
      </c>
    </row>
    <row r="119" spans="1:38">
      <c r="A119" s="13" t="str">
        <f>CONCATENATE(D119,H119)</f>
        <v>ECON7430S1</v>
      </c>
      <c r="B119" s="89" t="s">
        <v>10</v>
      </c>
      <c r="C119" s="83">
        <v>2019</v>
      </c>
      <c r="D119" s="80" t="s">
        <v>88</v>
      </c>
      <c r="E119" s="13" t="str">
        <f>IF(VLOOKUP($A119,Courses!$A$2:$F$268,3,FALSE)=0,"",VLOOKUP($A119,Courses!$A$2:$F$268,3,FALSE))</f>
        <v/>
      </c>
      <c r="F119" s="13" t="str">
        <f>IF(VLOOKUP($A119,Courses!$A$2:$F$268,4,FALSE)=0,"",VLOOKUP($A119,Courses!$A$2:$F$268,4,FALSE))</f>
        <v/>
      </c>
      <c r="G119" s="13" t="str">
        <f>VLOOKUP($A119,Courses!$A$2:$F$268,5,FALSE)</f>
        <v>Competition Policy &amp; Regulation</v>
      </c>
      <c r="H119" s="70" t="s">
        <v>253</v>
      </c>
      <c r="I119" s="21" t="s">
        <v>252</v>
      </c>
      <c r="J119" s="70" t="s">
        <v>252</v>
      </c>
      <c r="L119" s="120">
        <v>1</v>
      </c>
      <c r="M119" s="71">
        <v>13</v>
      </c>
      <c r="N119" s="21">
        <v>1</v>
      </c>
      <c r="O119" s="21">
        <v>12</v>
      </c>
      <c r="P119" s="12">
        <f>IF($I119="Y",(wCCH1+wCCH2*$AJ119)*($AE119*$AF119)+(1-$AC119)*MIN(wCCH3*$AI119,maxCCH) + $AC119*MIN(wCCH4*$AI119,maxCCH),0)</f>
        <v>30.05</v>
      </c>
      <c r="Q119" s="12">
        <f>IF($J119="Y",(wTCH1+wTCH2*IF($K119="Y",1,0))*$AG119*$AH119+(1-$AC119)*MIN(wTCH3*$AI119,maxTCH) + $AC119*MIN(wTCH4*$AI119,maxTCH),0)</f>
        <v>13.875</v>
      </c>
      <c r="R119" s="10">
        <f>(wOLH1+wOLH2*IF($K119="Y",1,0)+wOLH3*$AD119)*$T119 + wRLH*$U119</f>
        <v>78</v>
      </c>
      <c r="S119" s="10">
        <f>wOTH*$V119 + wRTH*$W119</f>
        <v>12</v>
      </c>
      <c r="T119" s="10">
        <f>IF($L119&gt;0,$M119*$AF119,0)</f>
        <v>26</v>
      </c>
      <c r="U119" s="10">
        <f>IF($L119&gt;1,($L119-1)*$M119*$AF119,0)</f>
        <v>0</v>
      </c>
      <c r="V119" s="10">
        <f>IF($N119&gt;0,$O119*$AH119,0)</f>
        <v>12</v>
      </c>
      <c r="W119" s="10">
        <f>IF($N119&gt;1,($N119-1)*$O119*$AH119,0)</f>
        <v>0</v>
      </c>
      <c r="X119" s="12">
        <f>(wAPH1+wAPH2*IF($K119="Y",1,0)+wAPH3*$AJ119)*IF($AE119&gt;0,$M119/$AE119,0)</f>
        <v>50</v>
      </c>
      <c r="Y119" s="33">
        <f>wCMH*MIN($AI119,maxCMH)*IF($AE119&gt;0,$M119/$AE119,1)</f>
        <v>15</v>
      </c>
      <c r="Z119" s="12">
        <f>wCACH1*($T119+$V119) +((1-$AC119)*MIN(wCACH2*$AI119,maxCACH) + $AC119*MIN(wCACH3*$AI119,maxCACH))*IF($AE119&gt;0,$M119/$AE119,1)</f>
        <v>42.05</v>
      </c>
      <c r="AA119" s="12">
        <f>SUM($P119:$Z119)</f>
        <v>278.97500000000002</v>
      </c>
      <c r="AB119" s="10">
        <f>ROUND(AA119/172.5,1)</f>
        <v>1.6</v>
      </c>
      <c r="AC119" s="14">
        <f>IF(VLOOKUP($A119,Courses!$A$2:$P$268,7,FALSE)="Y",1,0)</f>
        <v>0</v>
      </c>
      <c r="AD119" s="14">
        <f>VLOOKUP($A119,Courses!$A$2:$P$268,8,FALSE)</f>
        <v>0</v>
      </c>
      <c r="AE119" s="14">
        <f>VLOOKUP($A119,Courses!$A$2:$P$268,9,FALSE)</f>
        <v>13</v>
      </c>
      <c r="AF119" s="14">
        <f>VLOOKUP($A119,Courses!$A$2:$P$268,10,FALSE)</f>
        <v>2</v>
      </c>
      <c r="AG119" s="14">
        <f>VLOOKUP($A119,Courses!$A$2:$P$268,11,FALSE)</f>
        <v>12</v>
      </c>
      <c r="AH119" s="15">
        <f>VLOOKUP($A119,Courses!$A$2:$P$268,12,FALSE)</f>
        <v>1</v>
      </c>
      <c r="AI119" s="15">
        <f>VLOOKUP($A119,Courses!$A$2:$P$268,13,FALSE)</f>
        <v>30</v>
      </c>
      <c r="AJ119" s="15">
        <f>VLOOKUP($A119,Courses!$A$2:$P$268,14,FALSE)</f>
        <v>0</v>
      </c>
      <c r="AK119" s="15">
        <f>VLOOKUP($A119,Courses!$A$2:$P$268,15,FALSE)</f>
        <v>0</v>
      </c>
      <c r="AL119" s="15">
        <f>VLOOKUP($A119,Courses!$A$2:$P$268,16,FALSE)</f>
        <v>1</v>
      </c>
    </row>
    <row r="120" spans="1:38">
      <c r="A120" s="13" t="str">
        <f>CONCATENATE(D120,H120)</f>
        <v>ECON7440S2</v>
      </c>
      <c r="B120" s="89" t="s">
        <v>15</v>
      </c>
      <c r="C120" s="70">
        <v>2017</v>
      </c>
      <c r="D120" s="80" t="s">
        <v>116</v>
      </c>
      <c r="E120" s="13" t="str">
        <f>IF(VLOOKUP($A120,Courses!$A$2:$F$268,3,FALSE)=0,"",VLOOKUP($A120,Courses!$A$2:$F$268,3,FALSE))</f>
        <v/>
      </c>
      <c r="F120" s="13" t="str">
        <f>IF(VLOOKUP($A120,Courses!$A$2:$F$268,4,FALSE)=0,"",VLOOKUP($A120,Courses!$A$2:$F$268,4,FALSE))</f>
        <v/>
      </c>
      <c r="G120" s="13" t="str">
        <f>VLOOKUP($A120,Courses!$A$2:$F$268,5,FALSE)</f>
        <v>Public Finance</v>
      </c>
      <c r="H120" s="70" t="s">
        <v>254</v>
      </c>
      <c r="I120" s="21" t="s">
        <v>252</v>
      </c>
      <c r="J120" s="128" t="s">
        <v>252</v>
      </c>
      <c r="K120" s="160" t="s">
        <v>252</v>
      </c>
      <c r="L120" s="120">
        <v>1</v>
      </c>
      <c r="M120" s="71">
        <v>13</v>
      </c>
      <c r="N120" s="21"/>
      <c r="O120" s="21"/>
      <c r="P120" s="12">
        <f>IF($I120="Y",(wCCH1+wCCH2*$AJ120)*($AE120*$AF120)+(1-$AC120)*MIN(wCCH3*$AI120,maxCCH) + $AC120*MIN(wCCH4*$AI120,maxCCH),0)</f>
        <v>29.51</v>
      </c>
      <c r="Q120" s="12">
        <f>IF($J120="Y",(wTCH1+wTCH2*IF($K120="Y",1,0))*$AG120*$AH120+(1-$AC120)*MIN(wTCH3*$AI120,maxTCH) + $AC120*MIN(wTCH4*$AI120,maxTCH),0)</f>
        <v>25.625</v>
      </c>
      <c r="R120" s="10">
        <f>(wOLH1+wOLH2*IF($K120="Y",1,0)+wOLH3*$AD120)*$T120 + wRLH*$U120</f>
        <v>130</v>
      </c>
      <c r="S120" s="10">
        <f>wOTH*$V120 + wRTH*$W120</f>
        <v>0</v>
      </c>
      <c r="T120" s="10">
        <f>IF($L120&gt;0,$M120*$AF120,0)</f>
        <v>26</v>
      </c>
      <c r="U120" s="10">
        <f>IF($L120&gt;1,($L120-1)*$M120*$AF120,0)</f>
        <v>0</v>
      </c>
      <c r="V120" s="10">
        <f>IF($N120&gt;0,$O120*$AH120,0)</f>
        <v>0</v>
      </c>
      <c r="W120" s="10">
        <f>IF($N120&gt;1,($N120-1)*$O120*$AH120,0)</f>
        <v>0</v>
      </c>
      <c r="X120" s="12">
        <f>(wAPH1+wAPH2*IF($K120="Y",1,0)+wAPH3*$AJ120)*IF($AE120&gt;0,$M120/$AE120,0)</f>
        <v>70</v>
      </c>
      <c r="Y120" s="33">
        <f>wCMH*MIN($AI120,maxCMH)*IF($AE120&gt;0,$M120/$AE120,1)</f>
        <v>15</v>
      </c>
      <c r="Z120" s="12">
        <f>wCACH1*($T120+$V120) +((1-$AC120)*MIN(wCACH2*$AI120,maxCACH) + $AC120*MIN(wCACH3*$AI120,maxCACH))*IF($AE120&gt;0,$M120/$AE120,1)</f>
        <v>29.51</v>
      </c>
      <c r="AA120" s="12">
        <f>SUM($P120:$Z120)</f>
        <v>325.64499999999998</v>
      </c>
      <c r="AB120" s="10">
        <f>ROUND(AA120/172.5,1)</f>
        <v>1.9</v>
      </c>
      <c r="AC120" s="14">
        <f>IF(VLOOKUP($A120,Courses!$A$2:$P$268,7,FALSE)="Y",1,0)</f>
        <v>0</v>
      </c>
      <c r="AD120" s="14">
        <f>VLOOKUP($A120,Courses!$A$2:$P$268,8,FALSE)</f>
        <v>0</v>
      </c>
      <c r="AE120" s="14">
        <f>VLOOKUP($A120,Courses!$A$2:$P$268,9,FALSE)</f>
        <v>13</v>
      </c>
      <c r="AF120" s="14">
        <f>VLOOKUP($A120,Courses!$A$2:$P$268,10,FALSE)</f>
        <v>2</v>
      </c>
      <c r="AG120" s="14">
        <f>VLOOKUP($A120,Courses!$A$2:$P$268,11,FALSE)</f>
        <v>12</v>
      </c>
      <c r="AH120" s="15">
        <f>VLOOKUP($A120,Courses!$A$2:$P$268,12,FALSE)</f>
        <v>1</v>
      </c>
      <c r="AI120" s="15">
        <f>VLOOKUP($A120,Courses!$A$2:$P$268,13,FALSE)</f>
        <v>26</v>
      </c>
      <c r="AJ120" s="15">
        <f>VLOOKUP($A120,Courses!$A$2:$P$268,14,FALSE)</f>
        <v>0</v>
      </c>
      <c r="AK120" s="15">
        <f>VLOOKUP($A120,Courses!$A$2:$P$268,15,FALSE)</f>
        <v>0</v>
      </c>
      <c r="AL120" s="15">
        <f>VLOOKUP($A120,Courses!$A$2:$P$268,16,FALSE)</f>
        <v>1</v>
      </c>
    </row>
    <row r="121" spans="1:38">
      <c r="A121" s="13" t="str">
        <f>CONCATENATE(D121,H121)</f>
        <v>ECON7460S2</v>
      </c>
      <c r="B121" s="89" t="s">
        <v>128</v>
      </c>
      <c r="C121" s="70">
        <v>2020</v>
      </c>
      <c r="D121" s="80" t="s">
        <v>78</v>
      </c>
      <c r="E121" s="13" t="str">
        <f>IF(VLOOKUP($A121,Courses!$A$2:$F$268,3,FALSE)=0,"",VLOOKUP($A121,Courses!$A$2:$F$268,3,FALSE))</f>
        <v/>
      </c>
      <c r="F121" s="13" t="str">
        <f>IF(VLOOKUP($A121,Courses!$A$2:$F$268,4,FALSE)=0,"",VLOOKUP($A121,Courses!$A$2:$F$268,4,FALSE))</f>
        <v/>
      </c>
      <c r="G121" s="13" t="str">
        <f>VLOOKUP($A121,Courses!$A$2:$F$268,5,FALSE)</f>
        <v>Health Economics</v>
      </c>
      <c r="H121" s="70" t="s">
        <v>254</v>
      </c>
      <c r="I121" s="21" t="s">
        <v>252</v>
      </c>
      <c r="J121" s="70" t="s">
        <v>252</v>
      </c>
      <c r="L121" s="120">
        <v>1</v>
      </c>
      <c r="M121" s="71">
        <v>13</v>
      </c>
      <c r="N121" s="21">
        <v>1</v>
      </c>
      <c r="O121" s="21">
        <v>12</v>
      </c>
      <c r="P121" s="12">
        <f>IF($I121="Y",(wCCH1+wCCH2*$AJ121)*($AE121*$AF121)+(1-$AC121)*MIN(wCCH3*$AI121,maxCCH) + $AC121*MIN(wCCH4*$AI121,maxCCH),0)</f>
        <v>30.05</v>
      </c>
      <c r="Q121" s="12">
        <f>IF($J121="Y",(wTCH1+wTCH2*IF($K121="Y",1,0))*$AG121*$AH121+(1-$AC121)*MIN(wTCH3*$AI121,maxTCH) + $AC121*MIN(wTCH4*$AI121,maxTCH),0)</f>
        <v>13.875</v>
      </c>
      <c r="R121" s="10">
        <f>(wOLH1+wOLH2*IF($K121="Y",1,0)+wOLH3*$AD121)*$T121 + wRLH*$U121</f>
        <v>78</v>
      </c>
      <c r="S121" s="10">
        <f>wOTH*$V121 + wRTH*$W121</f>
        <v>12</v>
      </c>
      <c r="T121" s="10">
        <f>IF($L121&gt;0,$M121*$AF121,0)</f>
        <v>26</v>
      </c>
      <c r="U121" s="10">
        <f>IF($L121&gt;1,($L121-1)*$M121*$AF121,0)</f>
        <v>0</v>
      </c>
      <c r="V121" s="10">
        <f>IF($N121&gt;0,$O121*$AH121,0)</f>
        <v>12</v>
      </c>
      <c r="W121" s="10">
        <f>IF($N121&gt;1,($N121-1)*$O121*$AH121,0)</f>
        <v>0</v>
      </c>
      <c r="X121" s="12">
        <f>(wAPH1+wAPH2*IF($K121="Y",1,0)+wAPH3*$AJ121)*IF($AE121&gt;0,$M121/$AE121,0)</f>
        <v>50</v>
      </c>
      <c r="Y121" s="33">
        <f>wCMH*MIN($AI121,maxCMH)*IF($AE121&gt;0,$M121/$AE121,1)</f>
        <v>15</v>
      </c>
      <c r="Z121" s="12">
        <f>wCACH1*($T121+$V121) +((1-$AC121)*MIN(wCACH2*$AI121,maxCACH) + $AC121*MIN(wCACH3*$AI121,maxCACH))*IF($AE121&gt;0,$M121/$AE121,1)</f>
        <v>42.05</v>
      </c>
      <c r="AA121" s="12">
        <f>SUM($P121:$Z121)</f>
        <v>278.97500000000002</v>
      </c>
      <c r="AB121" s="10">
        <f>ROUND(AA121/172.5,1)</f>
        <v>1.6</v>
      </c>
      <c r="AC121" s="14">
        <f>IF(VLOOKUP($A121,Courses!$A$2:$P$268,7,FALSE)="Y",1,0)</f>
        <v>0</v>
      </c>
      <c r="AD121" s="14">
        <f>VLOOKUP($A121,Courses!$A$2:$P$268,8,FALSE)</f>
        <v>0</v>
      </c>
      <c r="AE121" s="14">
        <f>VLOOKUP($A121,Courses!$A$2:$P$268,9,FALSE)</f>
        <v>13</v>
      </c>
      <c r="AF121" s="14">
        <f>VLOOKUP($A121,Courses!$A$2:$P$268,10,FALSE)</f>
        <v>2</v>
      </c>
      <c r="AG121" s="14">
        <f>VLOOKUP($A121,Courses!$A$2:$P$268,11,FALSE)</f>
        <v>12</v>
      </c>
      <c r="AH121" s="15">
        <f>VLOOKUP($A121,Courses!$A$2:$P$268,12,FALSE)</f>
        <v>1</v>
      </c>
      <c r="AI121" s="15">
        <f>VLOOKUP($A121,Courses!$A$2:$P$268,13,FALSE)</f>
        <v>30</v>
      </c>
      <c r="AJ121" s="15">
        <f>VLOOKUP($A121,Courses!$A$2:$P$268,14,FALSE)</f>
        <v>0</v>
      </c>
      <c r="AK121" s="15">
        <f>VLOOKUP($A121,Courses!$A$2:$P$268,15,FALSE)</f>
        <v>0</v>
      </c>
      <c r="AL121" s="15">
        <f>VLOOKUP($A121,Courses!$A$2:$P$268,16,FALSE)</f>
        <v>1</v>
      </c>
    </row>
    <row r="122" spans="1:38">
      <c r="A122" s="13" t="str">
        <f>CONCATENATE(D122,H122)</f>
        <v>ECON7520S1</v>
      </c>
      <c r="B122" s="57" t="s">
        <v>810</v>
      </c>
      <c r="D122" s="80" t="s">
        <v>45</v>
      </c>
      <c r="E122" s="13" t="str">
        <f>IF(VLOOKUP($A122,Courses!$A$2:$F$268,3,FALSE)=0,"",VLOOKUP($A122,Courses!$A$2:$F$268,3,FALSE))</f>
        <v/>
      </c>
      <c r="F122" s="13" t="str">
        <f>IF(VLOOKUP($A122,Courses!$A$2:$F$268,4,FALSE)=0,"",VLOOKUP($A122,Courses!$A$2:$F$268,4,FALSE))</f>
        <v/>
      </c>
      <c r="G122" s="13" t="str">
        <f>VLOOKUP($A122,Courses!$A$2:$F$268,5,FALSE)</f>
        <v>International Macroeconomics and Finance</v>
      </c>
      <c r="H122" s="70" t="s">
        <v>253</v>
      </c>
      <c r="I122" s="21" t="s">
        <v>252</v>
      </c>
      <c r="J122" s="70" t="s">
        <v>252</v>
      </c>
      <c r="K122" s="70" t="s">
        <v>252</v>
      </c>
      <c r="L122" s="120">
        <v>1</v>
      </c>
      <c r="M122" s="71">
        <v>13</v>
      </c>
      <c r="N122" s="21"/>
      <c r="O122" s="21"/>
      <c r="P122" s="12">
        <f>IF($I122="Y",(wCCH1+wCCH2*$AJ122)*($AE122*$AF122)+(1-$AC122)*MIN(wCCH3*$AI122,maxCCH) + $AC122*MIN(wCCH4*$AI122,maxCCH),0)</f>
        <v>56.510000000000005</v>
      </c>
      <c r="Q122" s="12">
        <f>IF($J122="Y",(wTCH1+wTCH2*IF($K122="Y",1,0))*$AG122*$AH122+(1-$AC122)*MIN(wTCH3*$AI122,maxTCH) + $AC122*MIN(wTCH4*$AI122,maxTCH),0)</f>
        <v>38.125</v>
      </c>
      <c r="R122" s="10">
        <f>(wOLH1+wOLH2*IF($K122="Y",1,0)+wOLH3*$AD122)*$T122 + wRLH*$U122</f>
        <v>130</v>
      </c>
      <c r="S122" s="10">
        <f>wOTH*$V122 + wRTH*$W122</f>
        <v>0</v>
      </c>
      <c r="T122" s="10">
        <f>IF($L122&gt;0,$M122*$AF122,0)</f>
        <v>26</v>
      </c>
      <c r="U122" s="10">
        <f>IF($L122&gt;1,($L122-1)*$M122*$AF122,0)</f>
        <v>0</v>
      </c>
      <c r="V122" s="10">
        <f>IF($N122&gt;0,$O122*$AH122,0)</f>
        <v>0</v>
      </c>
      <c r="W122" s="10">
        <f>IF($N122&gt;1,($N122-1)*$O122*$AH122,0)</f>
        <v>0</v>
      </c>
      <c r="X122" s="12">
        <f>(wAPH1+wAPH2*IF($K122="Y",1,0)+wAPH3*$AJ122)*IF($AE122&gt;0,$M122/$AE122,0)</f>
        <v>70</v>
      </c>
      <c r="Y122" s="33">
        <f>wCMH*MIN($AI122,maxCMH)*IF($AE122&gt;0,$M122/$AE122,1)</f>
        <v>15</v>
      </c>
      <c r="Z122" s="12">
        <f>wCACH1*($T122+$V122) +((1-$AC122)*MIN(wCACH2*$AI122,maxCACH) + $AC122*MIN(wCACH3*$AI122,maxCACH))*IF($AE122&gt;0,$M122/$AE122,1)</f>
        <v>56.510000000000005</v>
      </c>
      <c r="AA122" s="12">
        <f>SUM($P122:$Z122)</f>
        <v>392.14499999999998</v>
      </c>
      <c r="AB122" s="10">
        <f>ROUND(AA122/172.5,1)</f>
        <v>2.2999999999999998</v>
      </c>
      <c r="AC122" s="14">
        <f>IF(VLOOKUP($A122,Courses!$A$2:$P$268,7,FALSE)="Y",1,0)</f>
        <v>0</v>
      </c>
      <c r="AD122" s="14">
        <f>VLOOKUP($A122,Courses!$A$2:$P$268,8,FALSE)</f>
        <v>0</v>
      </c>
      <c r="AE122" s="14">
        <f>VLOOKUP($A122,Courses!$A$2:$P$268,9,FALSE)</f>
        <v>13</v>
      </c>
      <c r="AF122" s="14">
        <f>VLOOKUP($A122,Courses!$A$2:$P$268,10,FALSE)</f>
        <v>2</v>
      </c>
      <c r="AG122" s="14">
        <f>VLOOKUP($A122,Courses!$A$2:$P$268,11,FALSE)</f>
        <v>12</v>
      </c>
      <c r="AH122" s="15">
        <f>VLOOKUP($A122,Courses!$A$2:$P$268,12,FALSE)</f>
        <v>1</v>
      </c>
      <c r="AI122" s="15">
        <f>VLOOKUP($A122,Courses!$A$2:$P$268,13,FALSE)</f>
        <v>226</v>
      </c>
      <c r="AJ122" s="15">
        <f>VLOOKUP($A122,Courses!$A$2:$P$268,14,FALSE)</f>
        <v>0</v>
      </c>
      <c r="AK122" s="15">
        <f>VLOOKUP($A122,Courses!$A$2:$P$268,15,FALSE)</f>
        <v>0</v>
      </c>
      <c r="AL122" s="15">
        <f>VLOOKUP($A122,Courses!$A$2:$P$268,16,FALSE)</f>
        <v>6</v>
      </c>
    </row>
    <row r="123" spans="1:38">
      <c r="A123" s="13" t="str">
        <f>CONCATENATE(D123,H123)</f>
        <v>ECON7520S2</v>
      </c>
      <c r="B123" s="69" t="s">
        <v>138</v>
      </c>
      <c r="C123" s="70">
        <v>2019</v>
      </c>
      <c r="D123" s="80" t="s">
        <v>45</v>
      </c>
      <c r="E123" s="13" t="str">
        <f>IF(VLOOKUP($A123,Courses!$A$2:$F$268,3,FALSE)=0,"",VLOOKUP($A123,Courses!$A$2:$F$268,3,FALSE))</f>
        <v/>
      </c>
      <c r="F123" s="13" t="str">
        <f>IF(VLOOKUP($A123,Courses!$A$2:$F$268,4,FALSE)=0,"",VLOOKUP($A123,Courses!$A$2:$F$268,4,FALSE))</f>
        <v/>
      </c>
      <c r="G123" s="13" t="str">
        <f>VLOOKUP($A123,Courses!$A$2:$F$268,5,FALSE)</f>
        <v>International Macroeconomics and Finance</v>
      </c>
      <c r="H123" s="70" t="s">
        <v>254</v>
      </c>
      <c r="I123" s="21" t="s">
        <v>252</v>
      </c>
      <c r="J123" s="70" t="s">
        <v>252</v>
      </c>
      <c r="L123" s="120">
        <v>1</v>
      </c>
      <c r="M123" s="71">
        <v>13</v>
      </c>
      <c r="N123" s="21"/>
      <c r="O123" s="21"/>
      <c r="P123" s="12">
        <f>IF($I123="Y",(wCCH1+wCCH2*$AJ123)*($AE123*$AF123)+(1-$AC123)*MIN(wCCH3*$AI123,maxCCH) + $AC123*MIN(wCCH4*$AI123,maxCCH),0)</f>
        <v>51.92</v>
      </c>
      <c r="Q123" s="12">
        <f>IF($J123="Y",(wTCH1+wTCH2*IF($K123="Y",1,0))*$AG123*$AH123+(1-$AC123)*MIN(wTCH3*$AI123,maxTCH) + $AC123*MIN(wTCH4*$AI123,maxTCH),0)</f>
        <v>24</v>
      </c>
      <c r="R123" s="10">
        <f>(wOLH1+wOLH2*IF($K123="Y",1,0)+wOLH3*$AD123)*$T123 + wRLH*$U123</f>
        <v>78</v>
      </c>
      <c r="S123" s="10">
        <f>wOTH*$V123 + wRTH*$W123</f>
        <v>0</v>
      </c>
      <c r="T123" s="10">
        <f>IF($L123&gt;0,$M123*$AF123,0)</f>
        <v>26</v>
      </c>
      <c r="U123" s="10">
        <f>IF($L123&gt;1,($L123-1)*$M123*$AF123,0)</f>
        <v>0</v>
      </c>
      <c r="V123" s="10">
        <f>IF($N123&gt;0,$O123*$AH123,0)</f>
        <v>0</v>
      </c>
      <c r="W123" s="10">
        <f>IF($N123&gt;1,($N123-1)*$O123*$AH123,0)</f>
        <v>0</v>
      </c>
      <c r="X123" s="12">
        <f>(wAPH1+wAPH2*IF($K123="Y",1,0)+wAPH3*$AJ123)*IF($AE123&gt;0,$M123/$AE123,0)</f>
        <v>50</v>
      </c>
      <c r="Y123" s="33">
        <f>wCMH*MIN($AI123,maxCMH)*IF($AE123&gt;0,$M123/$AE123,1)</f>
        <v>15</v>
      </c>
      <c r="Z123" s="12">
        <f>wCACH1*($T123+$V123) +((1-$AC123)*MIN(wCACH2*$AI123,maxCACH) + $AC123*MIN(wCACH3*$AI123,maxCACH))*IF($AE123&gt;0,$M123/$AE123,1)</f>
        <v>51.92</v>
      </c>
      <c r="AA123" s="12">
        <f>SUM($P123:$Z123)</f>
        <v>296.84000000000003</v>
      </c>
      <c r="AB123" s="10">
        <f>ROUND(AA123/172.5,1)</f>
        <v>1.7</v>
      </c>
      <c r="AC123" s="14">
        <f>IF(VLOOKUP($A123,Courses!$A$2:$P$268,7,FALSE)="Y",1,0)</f>
        <v>0</v>
      </c>
      <c r="AD123" s="14">
        <f>VLOOKUP($A123,Courses!$A$2:$P$268,8,FALSE)</f>
        <v>0</v>
      </c>
      <c r="AE123" s="14">
        <f>VLOOKUP($A123,Courses!$A$2:$P$268,9,FALSE)</f>
        <v>13</v>
      </c>
      <c r="AF123" s="14">
        <f>VLOOKUP($A123,Courses!$A$2:$P$268,10,FALSE)</f>
        <v>2</v>
      </c>
      <c r="AG123" s="14">
        <f>VLOOKUP($A123,Courses!$A$2:$P$268,11,FALSE)</f>
        <v>12</v>
      </c>
      <c r="AH123" s="15">
        <f>VLOOKUP($A123,Courses!$A$2:$P$268,12,FALSE)</f>
        <v>1</v>
      </c>
      <c r="AI123" s="15">
        <f>VLOOKUP($A123,Courses!$A$2:$P$268,13,FALSE)</f>
        <v>192</v>
      </c>
      <c r="AJ123" s="15">
        <f>VLOOKUP($A123,Courses!$A$2:$P$268,14,FALSE)</f>
        <v>0</v>
      </c>
      <c r="AK123" s="15">
        <f>VLOOKUP($A123,Courses!$A$2:$P$268,15,FALSE)</f>
        <v>0</v>
      </c>
      <c r="AL123" s="15">
        <f>VLOOKUP($A123,Courses!$A$2:$P$268,16,FALSE)</f>
        <v>5</v>
      </c>
    </row>
    <row r="124" spans="1:38">
      <c r="A124" s="13" t="str">
        <f>CONCATENATE(D124,H124)</f>
        <v>ECON7530S2</v>
      </c>
      <c r="B124" s="57" t="s">
        <v>807</v>
      </c>
      <c r="D124" s="80" t="s">
        <v>100</v>
      </c>
      <c r="E124" s="13" t="str">
        <f>IF(VLOOKUP($A124,Courses!$A$2:$F$268,3,FALSE)=0,"",VLOOKUP($A124,Courses!$A$2:$F$268,3,FALSE))</f>
        <v/>
      </c>
      <c r="F124" s="13" t="str">
        <f>IF(VLOOKUP($A124,Courses!$A$2:$F$268,4,FALSE)=0,"",VLOOKUP($A124,Courses!$A$2:$F$268,4,FALSE))</f>
        <v/>
      </c>
      <c r="G124" s="13" t="str">
        <f>VLOOKUP($A124,Courses!$A$2:$F$268,5,FALSE)</f>
        <v>International Trade and Investment</v>
      </c>
      <c r="H124" s="70" t="s">
        <v>254</v>
      </c>
      <c r="I124" s="21" t="s">
        <v>252</v>
      </c>
      <c r="J124" s="70" t="s">
        <v>252</v>
      </c>
      <c r="L124" s="70">
        <v>1</v>
      </c>
      <c r="M124" s="71">
        <v>13</v>
      </c>
      <c r="N124" s="21"/>
      <c r="P124" s="12">
        <f>IF($I124="Y",(wCCH1+wCCH2*$AJ124)*($AE124*$AF124)+(1-$AC124)*MIN(wCCH3*$AI124,maxCCH) + $AC124*MIN(wCCH4*$AI124,maxCCH),0)</f>
        <v>41.164999999999999</v>
      </c>
      <c r="Q124" s="12">
        <f>IF($J124="Y",(wTCH1+wTCH2*IF($K124="Y",1,0))*$AG124*$AH124+(1-$AC124)*MIN(wTCH3*$AI124,maxTCH) + $AC124*MIN(wTCH4*$AI124,maxTCH),0)</f>
        <v>25.009599999999999</v>
      </c>
      <c r="R124" s="10">
        <f>(wOLH1+wOLH2*IF($K124="Y",1,0)+wOLH3*$AD124)*$T124 + wRLH*$U124</f>
        <v>78</v>
      </c>
      <c r="S124" s="10">
        <f>wOTH*$V124 + wRTH*$W124</f>
        <v>0</v>
      </c>
      <c r="T124" s="10">
        <f>IF($L124&gt;0,$M124*$AF124,0)</f>
        <v>26</v>
      </c>
      <c r="U124" s="10">
        <f>IF($L124&gt;1,($L124-1)*$M124*$AF124,0)</f>
        <v>0</v>
      </c>
      <c r="V124" s="10">
        <f>IF($N124&gt;0,$O124*$AH124,0)</f>
        <v>0</v>
      </c>
      <c r="W124" s="10">
        <f>IF($N124&gt;1,($N124-1)*$O124*$AH124,0)</f>
        <v>0</v>
      </c>
      <c r="X124" s="12">
        <f>(wAPH1+wAPH2*IF($K124="Y",1,0)+wAPH3*$AJ124)*IF($AE124&gt;0,$M124/$AE124,0)</f>
        <v>50</v>
      </c>
      <c r="Y124" s="33">
        <f>wCMH*MIN($AI124,maxCMH)*IF($AE124&gt;0,$M124/$AE124,1)</f>
        <v>15</v>
      </c>
      <c r="Z124" s="12">
        <f>wCACH1*($T124+$V124) +((1-$AC124)*MIN(wCACH2*$AI124,maxCACH) + $AC124*MIN(wCACH3*$AI124,maxCACH))*IF($AE124&gt;0,$M124/$AE124,1)</f>
        <v>41.164999999999999</v>
      </c>
      <c r="AA124" s="12">
        <f>SUM($P124:$Z124)</f>
        <v>276.33960000000002</v>
      </c>
      <c r="AB124" s="10">
        <f>ROUND(AA124/172.5,1)</f>
        <v>1.6</v>
      </c>
      <c r="AC124" s="14">
        <f>IF(VLOOKUP($A124,Courses!$A$2:$P$268,7,FALSE)="Y",1,0)</f>
        <v>1</v>
      </c>
      <c r="AD124" s="14">
        <f>VLOOKUP($A124,Courses!$A$2:$P$268,8,FALSE)</f>
        <v>0</v>
      </c>
      <c r="AE124" s="14">
        <f>VLOOKUP($A124,Courses!$A$2:$P$268,9,FALSE)</f>
        <v>13</v>
      </c>
      <c r="AF124" s="14">
        <f>VLOOKUP($A124,Courses!$A$2:$P$268,10,FALSE)</f>
        <v>2</v>
      </c>
      <c r="AG124" s="14">
        <f>VLOOKUP($A124,Courses!$A$2:$P$268,11,FALSE)</f>
        <v>12</v>
      </c>
      <c r="AH124" s="15">
        <f>VLOOKUP($A124,Courses!$A$2:$P$268,12,FALSE)</f>
        <v>1.5</v>
      </c>
      <c r="AI124" s="15">
        <f>VLOOKUP($A124,Courses!$A$2:$P$268,13,FALSE)</f>
        <v>337</v>
      </c>
      <c r="AJ124" s="15">
        <f>VLOOKUP($A124,Courses!$A$2:$P$268,14,FALSE)</f>
        <v>0</v>
      </c>
      <c r="AK124" s="15">
        <f>VLOOKUP($A124,Courses!$A$2:$P$268,15,FALSE)</f>
        <v>0</v>
      </c>
      <c r="AL124" s="15">
        <f>VLOOKUP($A124,Courses!$A$2:$P$268,16,FALSE)</f>
        <v>9</v>
      </c>
    </row>
    <row r="125" spans="1:38">
      <c r="A125" s="13" t="str">
        <f>CONCATENATE(D125,H125)</f>
        <v>ECON7530S3</v>
      </c>
      <c r="B125" s="57" t="s">
        <v>807</v>
      </c>
      <c r="D125" s="80" t="s">
        <v>100</v>
      </c>
      <c r="E125" s="13" t="str">
        <f>IF(VLOOKUP($A125,Courses!$A$2:$F$268,3,FALSE)=0,"",VLOOKUP($A125,Courses!$A$2:$F$268,3,FALSE))</f>
        <v/>
      </c>
      <c r="F125" s="13" t="str">
        <f>IF(VLOOKUP($A125,Courses!$A$2:$F$268,4,FALSE)=0,"",VLOOKUP($A125,Courses!$A$2:$F$268,4,FALSE))</f>
        <v/>
      </c>
      <c r="G125" s="13" t="str">
        <f>VLOOKUP($A125,Courses!$A$2:$F$268,5,FALSE)</f>
        <v>International Trade and Investment</v>
      </c>
      <c r="H125" s="70" t="s">
        <v>255</v>
      </c>
      <c r="I125" s="21" t="s">
        <v>252</v>
      </c>
      <c r="J125" s="70" t="s">
        <v>252</v>
      </c>
      <c r="L125" s="70">
        <v>1</v>
      </c>
      <c r="M125" s="71">
        <v>8</v>
      </c>
      <c r="N125" s="21"/>
      <c r="P125" s="12">
        <f>IF($I125="Y",(wCCH1+wCCH2*$AJ125)*($AE125*$AF125)+(1-$AC125)*MIN(wCCH3*$AI125,maxCCH) + $AC125*MIN(wCCH4*$AI125,maxCCH),0)</f>
        <v>44.555</v>
      </c>
      <c r="Q125" s="12">
        <f>IF($J125="Y",(wTCH1+wTCH2*IF($K125="Y",1,0))*$AG125*$AH125+(1-$AC125)*MIN(wTCH3*$AI125,maxTCH) + $AC125*MIN(wTCH4*$AI125,maxTCH),0)</f>
        <v>41.8125</v>
      </c>
      <c r="R125" s="10">
        <f>(wOLH1+wOLH2*IF($K125="Y",1,0)+wOLH3*$AD125)*$T125 + wRLH*$U125</f>
        <v>96</v>
      </c>
      <c r="S125" s="10">
        <f>wOTH*$V125 + wRTH*$W125</f>
        <v>0</v>
      </c>
      <c r="T125" s="10">
        <f>IF($L125&gt;0,$M125*$AF125,0)</f>
        <v>32</v>
      </c>
      <c r="U125" s="10">
        <f>IF($L125&gt;1,($L125-1)*$M125*$AF125,0)</f>
        <v>0</v>
      </c>
      <c r="V125" s="10">
        <f>IF($N125&gt;0,$O125*$AH125,0)</f>
        <v>0</v>
      </c>
      <c r="W125" s="10">
        <f>IF($N125&gt;1,($N125-1)*$O125*$AH125,0)</f>
        <v>0</v>
      </c>
      <c r="X125" s="12">
        <f>(wAPH1+wAPH2*IF($K125="Y",1,0)+wAPH3*$AJ125)*IF($AE125&gt;0,$M125/$AE125,0)</f>
        <v>50</v>
      </c>
      <c r="Y125" s="33">
        <f>wCMH*MIN($AI125,maxCMH)*IF($AE125&gt;0,$M125/$AE125,1)</f>
        <v>15</v>
      </c>
      <c r="Z125" s="12">
        <f>wCACH1*($T125+$V125) +((1-$AC125)*MIN(wCACH2*$AI125,maxCACH) + $AC125*MIN(wCACH3*$AI125,maxCACH))*IF($AE125&gt;0,$M125/$AE125,1)</f>
        <v>44.555</v>
      </c>
      <c r="AA125" s="12">
        <f>SUM($P125:$Z125)</f>
        <v>323.92250000000001</v>
      </c>
      <c r="AB125" s="10">
        <f>ROUND(AA125/172.5,1)</f>
        <v>1.9</v>
      </c>
      <c r="AC125" s="14">
        <f>IF(VLOOKUP($A125,Courses!$A$2:$P$268,7,FALSE)="Y",1,0)</f>
        <v>0</v>
      </c>
      <c r="AD125" s="14">
        <f>VLOOKUP($A125,Courses!$A$2:$P$268,8,FALSE)</f>
        <v>0</v>
      </c>
      <c r="AE125" s="14">
        <f>VLOOKUP($A125,Courses!$A$2:$P$268,9,FALSE)</f>
        <v>8</v>
      </c>
      <c r="AF125" s="14">
        <f>VLOOKUP($A125,Courses!$A$2:$P$268,10,FALSE)</f>
        <v>4</v>
      </c>
      <c r="AG125" s="14">
        <f>VLOOKUP($A125,Courses!$A$2:$P$268,11,FALSE)</f>
        <v>12</v>
      </c>
      <c r="AH125" s="15">
        <f>VLOOKUP($A125,Courses!$A$2:$P$268,12,FALSE)</f>
        <v>3</v>
      </c>
      <c r="AI125" s="15">
        <f>VLOOKUP($A125,Courses!$A$2:$P$268,13,FALSE)</f>
        <v>93</v>
      </c>
      <c r="AJ125" s="15">
        <f>VLOOKUP($A125,Courses!$A$2:$P$268,14,FALSE)</f>
        <v>0</v>
      </c>
      <c r="AK125" s="15">
        <f>VLOOKUP($A125,Courses!$A$2:$P$268,15,FALSE)</f>
        <v>0</v>
      </c>
      <c r="AL125" s="15">
        <f>VLOOKUP($A125,Courses!$A$2:$P$268,16,FALSE)</f>
        <v>3</v>
      </c>
    </row>
    <row r="126" spans="1:38">
      <c r="A126" s="13" t="str">
        <f>CONCATENATE(D126,H126)</f>
        <v>ECON7540S2</v>
      </c>
      <c r="B126" s="57" t="s">
        <v>807</v>
      </c>
      <c r="D126" s="80" t="s">
        <v>81</v>
      </c>
      <c r="E126" s="13" t="str">
        <f>IF(VLOOKUP($A126,Courses!$A$2:$F$268,3,FALSE)=0,"",VLOOKUP($A126,Courses!$A$2:$F$268,3,FALSE))</f>
        <v/>
      </c>
      <c r="F126" s="13" t="str">
        <f>IF(VLOOKUP($A126,Courses!$A$2:$F$268,4,FALSE)=0,"",VLOOKUP($A126,Courses!$A$2:$F$268,4,FALSE))</f>
        <v/>
      </c>
      <c r="G126" s="13" t="str">
        <f>VLOOKUP($A126,Courses!$A$2:$F$268,5,FALSE)</f>
        <v>Economics of Innovation &amp; Entrepreneurship</v>
      </c>
      <c r="H126" s="70" t="s">
        <v>254</v>
      </c>
      <c r="I126" s="21" t="s">
        <v>252</v>
      </c>
      <c r="J126" s="128" t="s">
        <v>252</v>
      </c>
      <c r="L126" s="120">
        <v>1</v>
      </c>
      <c r="M126" s="71">
        <v>13</v>
      </c>
      <c r="N126" s="21"/>
      <c r="O126" s="21"/>
      <c r="P126" s="12">
        <f>IF($I126="Y",(wCCH1+wCCH2*$AJ126)*($AE126*$AF126)+(1-$AC126)*MIN(wCCH3*$AI126,maxCCH) + $AC126*MIN(wCCH4*$AI126,maxCCH),0)</f>
        <v>32.21</v>
      </c>
      <c r="Q126" s="12">
        <f>IF($J126="Y",(wTCH1+wTCH2*IF($K126="Y",1,0))*$AG126*$AH126+(1-$AC126)*MIN(wTCH3*$AI126,maxTCH) + $AC126*MIN(wTCH4*$AI126,maxTCH),0)</f>
        <v>14.875</v>
      </c>
      <c r="R126" s="10">
        <f>(wOLH1+wOLH2*IF($K126="Y",1,0)+wOLH3*$AD126)*$T126 + wRLH*$U126</f>
        <v>78</v>
      </c>
      <c r="S126" s="10">
        <f>wOTH*$V126 + wRTH*$W126</f>
        <v>0</v>
      </c>
      <c r="T126" s="10">
        <f>IF($L126&gt;0,$M126*$AF126,0)</f>
        <v>26</v>
      </c>
      <c r="U126" s="10">
        <f>IF($L126&gt;1,($L126-1)*$M126*$AF126,0)</f>
        <v>0</v>
      </c>
      <c r="V126" s="10">
        <f>IF($N126&gt;0,$O126*$AH126,0)</f>
        <v>0</v>
      </c>
      <c r="W126" s="10">
        <f>IF($N126&gt;1,($N126-1)*$O126*$AH126,0)</f>
        <v>0</v>
      </c>
      <c r="X126" s="12">
        <f>(wAPH1+wAPH2*IF($K126="Y",1,0)+wAPH3*$AJ126)*IF($AE126&gt;0,$M126/$AE126,0)</f>
        <v>50</v>
      </c>
      <c r="Y126" s="33">
        <f>wCMH*MIN($AI126,maxCMH)*IF($AE126&gt;0,$M126/$AE126,1)</f>
        <v>15</v>
      </c>
      <c r="Z126" s="12">
        <f>wCACH1*($T126+$V126) +((1-$AC126)*MIN(wCACH2*$AI126,maxCACH) + $AC126*MIN(wCACH3*$AI126,maxCACH))*IF($AE126&gt;0,$M126/$AE126,1)</f>
        <v>32.21</v>
      </c>
      <c r="AA126" s="12">
        <f>SUM($P126:$Z126)</f>
        <v>248.29500000000002</v>
      </c>
      <c r="AB126" s="10">
        <f>ROUND(AA126/172.5,1)</f>
        <v>1.4</v>
      </c>
      <c r="AC126" s="14">
        <f>IF(VLOOKUP($A126,Courses!$A$2:$P$268,7,FALSE)="Y",1,0)</f>
        <v>0</v>
      </c>
      <c r="AD126" s="14">
        <f>VLOOKUP($A126,Courses!$A$2:$P$268,8,FALSE)</f>
        <v>0</v>
      </c>
      <c r="AE126" s="14">
        <f>VLOOKUP($A126,Courses!$A$2:$P$268,9,FALSE)</f>
        <v>13</v>
      </c>
      <c r="AF126" s="14">
        <f>VLOOKUP($A126,Courses!$A$2:$P$268,10,FALSE)</f>
        <v>2</v>
      </c>
      <c r="AG126" s="14">
        <f>VLOOKUP($A126,Courses!$A$2:$P$268,11,FALSE)</f>
        <v>12</v>
      </c>
      <c r="AH126" s="15">
        <f>VLOOKUP($A126,Courses!$A$2:$P$268,12,FALSE)</f>
        <v>1</v>
      </c>
      <c r="AI126" s="15">
        <f>VLOOKUP($A126,Courses!$A$2:$P$268,13,FALSE)</f>
        <v>46</v>
      </c>
      <c r="AJ126" s="15">
        <f>VLOOKUP($A126,Courses!$A$2:$P$268,14,FALSE)</f>
        <v>0</v>
      </c>
      <c r="AK126" s="15">
        <f>VLOOKUP($A126,Courses!$A$2:$P$268,15,FALSE)</f>
        <v>0</v>
      </c>
      <c r="AL126" s="15">
        <f>VLOOKUP($A126,Courses!$A$2:$P$268,16,FALSE)</f>
        <v>2</v>
      </c>
    </row>
    <row r="127" spans="1:38">
      <c r="A127" s="13" t="str">
        <f>CONCATENATE(D127,H127)</f>
        <v>ECON7560S1</v>
      </c>
      <c r="B127" s="132" t="s">
        <v>140</v>
      </c>
      <c r="D127" s="80" t="s">
        <v>80</v>
      </c>
      <c r="E127" s="13" t="str">
        <f>IF(VLOOKUP($A127,Courses!$A$2:$F$268,3,FALSE)=0,"",VLOOKUP($A127,Courses!$A$2:$F$268,3,FALSE))</f>
        <v/>
      </c>
      <c r="F127" s="13" t="str">
        <f>IF(VLOOKUP($A127,Courses!$A$2:$F$268,4,FALSE)=0,"",VLOOKUP($A127,Courses!$A$2:$F$268,4,FALSE))</f>
        <v/>
      </c>
      <c r="G127" s="13" t="str">
        <f>VLOOKUP($A127,Courses!$A$2:$F$268,5,FALSE)</f>
        <v>Globalisation &amp; Econ Dev</v>
      </c>
      <c r="H127" s="70" t="s">
        <v>253</v>
      </c>
      <c r="I127" s="21" t="s">
        <v>252</v>
      </c>
      <c r="J127" s="128" t="s">
        <v>252</v>
      </c>
      <c r="K127" s="131" t="s">
        <v>252</v>
      </c>
      <c r="L127" s="120">
        <v>1</v>
      </c>
      <c r="M127" s="71">
        <v>13</v>
      </c>
      <c r="N127" s="21">
        <v>2</v>
      </c>
      <c r="O127" s="21">
        <v>12</v>
      </c>
      <c r="P127" s="12">
        <f>IF($I127="Y",(wCCH1+wCCH2*$AJ127)*($AE127*$AF127)+(1-$AC127)*MIN(wCCH3*$AI127,maxCCH) + $AC127*MIN(wCCH4*$AI127,maxCCH),0)</f>
        <v>33.424999999999997</v>
      </c>
      <c r="Q127" s="12">
        <f>IF($J127="Y",(wTCH1+wTCH2*IF($K127="Y",1,0))*$AG127*$AH127+(1-$AC127)*MIN(wTCH3*$AI127,maxTCH) + $AC127*MIN(wTCH4*$AI127,maxTCH),0)</f>
        <v>27.4375</v>
      </c>
      <c r="R127" s="10">
        <f>(wOLH1+wOLH2*IF($K127="Y",1,0)+wOLH3*$AD127)*$T127 + wRLH*$U127</f>
        <v>130</v>
      </c>
      <c r="S127" s="10">
        <f>wOTH*$V127 + wRTH*$W127</f>
        <v>12</v>
      </c>
      <c r="T127" s="10">
        <f>IF($L127&gt;0,$M127*$AF127,0)</f>
        <v>26</v>
      </c>
      <c r="U127" s="10">
        <f>IF($L127&gt;1,($L127-1)*$M127*$AF127,0)</f>
        <v>0</v>
      </c>
      <c r="V127" s="10">
        <f>IF($N127&gt;0,$O127*$AH127,0)</f>
        <v>12</v>
      </c>
      <c r="W127" s="10">
        <f>IF($N127&gt;1,($N127-1)*$O127*$AH127,0)</f>
        <v>12</v>
      </c>
      <c r="X127" s="12">
        <f>(wAPH1+wAPH2*IF($K127="Y",1,0)+wAPH3*$AJ127)*IF($AE127&gt;0,$M127/$AE127,0)</f>
        <v>70</v>
      </c>
      <c r="Y127" s="33">
        <f>wCMH*MIN($AI127,maxCMH)*IF($AE127&gt;0,$M127/$AE127,1)</f>
        <v>15</v>
      </c>
      <c r="Z127" s="12">
        <f>wCACH1*($T127+$V127) +((1-$AC127)*MIN(wCACH2*$AI127,maxCACH) + $AC127*MIN(wCACH3*$AI127,maxCACH))*IF($AE127&gt;0,$M127/$AE127,1)</f>
        <v>45.424999999999997</v>
      </c>
      <c r="AA127" s="12">
        <f>SUM($P127:$Z127)</f>
        <v>383.28750000000002</v>
      </c>
      <c r="AB127" s="10">
        <f>ROUND(AA127/172.5,1)</f>
        <v>2.2000000000000002</v>
      </c>
      <c r="AC127" s="14">
        <f>IF(VLOOKUP($A127,Courses!$A$2:$P$268,7,FALSE)="Y",1,0)</f>
        <v>0</v>
      </c>
      <c r="AD127" s="14">
        <f>VLOOKUP($A127,Courses!$A$2:$P$268,8,FALSE)</f>
        <v>0</v>
      </c>
      <c r="AE127" s="14">
        <f>VLOOKUP($A127,Courses!$A$2:$P$268,9,FALSE)</f>
        <v>13</v>
      </c>
      <c r="AF127" s="14">
        <f>VLOOKUP($A127,Courses!$A$2:$P$268,10,FALSE)</f>
        <v>2</v>
      </c>
      <c r="AG127" s="14">
        <f>VLOOKUP($A127,Courses!$A$2:$P$268,11,FALSE)</f>
        <v>12</v>
      </c>
      <c r="AH127" s="15">
        <f>VLOOKUP($A127,Courses!$A$2:$P$268,12,FALSE)</f>
        <v>1</v>
      </c>
      <c r="AI127" s="15">
        <f>VLOOKUP($A127,Courses!$A$2:$P$268,13,FALSE)</f>
        <v>55</v>
      </c>
      <c r="AJ127" s="15">
        <f>VLOOKUP($A127,Courses!$A$2:$P$268,14,FALSE)</f>
        <v>0</v>
      </c>
      <c r="AK127" s="15">
        <f>VLOOKUP($A127,Courses!$A$2:$P$268,15,FALSE)</f>
        <v>0</v>
      </c>
      <c r="AL127" s="15">
        <f>VLOOKUP($A127,Courses!$A$2:$P$268,16,FALSE)</f>
        <v>2</v>
      </c>
    </row>
    <row r="128" spans="1:38">
      <c r="A128" s="13" t="str">
        <f>CONCATENATE(D128,H128)</f>
        <v>ECON7740S2</v>
      </c>
      <c r="B128" s="69" t="s">
        <v>587</v>
      </c>
      <c r="C128" s="83"/>
      <c r="D128" s="80" t="s">
        <v>74</v>
      </c>
      <c r="E128" s="13" t="str">
        <f>IF(VLOOKUP($A128,Courses!$A$2:$F$268,3,FALSE)=0,"",VLOOKUP($A128,Courses!$A$2:$F$268,3,FALSE))</f>
        <v/>
      </c>
      <c r="F128" s="13" t="str">
        <f>IF(VLOOKUP($A128,Courses!$A$2:$F$268,4,FALSE)=0,"",VLOOKUP($A128,Courses!$A$2:$F$268,4,FALSE))</f>
        <v/>
      </c>
      <c r="G128" s="13" t="str">
        <f>VLOOKUP($A128,Courses!$A$2:$F$268,5,FALSE)</f>
        <v>Benefit-Cost Analysis for Business</v>
      </c>
      <c r="H128" s="70" t="s">
        <v>254</v>
      </c>
      <c r="I128" s="21" t="s">
        <v>252</v>
      </c>
      <c r="J128" s="157" t="s">
        <v>252</v>
      </c>
      <c r="K128" s="159"/>
      <c r="L128" s="120">
        <v>1</v>
      </c>
      <c r="M128" s="71">
        <v>13</v>
      </c>
      <c r="N128" s="21"/>
      <c r="O128" s="21"/>
      <c r="P128" s="12">
        <f>IF($I128="Y",(wCCH1+wCCH2*$AJ128)*($AE128*$AF128)+(1-$AC128)*MIN(wCCH3*$AI128,maxCCH) + $AC128*MIN(wCCH4*$AI128,maxCCH),0)</f>
        <v>36.664999999999999</v>
      </c>
      <c r="Q128" s="12">
        <f>IF($J128="Y",(wTCH1+wTCH2*IF($K128="Y",1,0))*$AG128*$AH128+(1-$AC128)*MIN(wTCH3*$AI128,maxTCH) + $AC128*MIN(wTCH4*$AI128,maxTCH),0)</f>
        <v>16.9375</v>
      </c>
      <c r="R128" s="10">
        <f>(wOLH1+wOLH2*IF($K128="Y",1,0)+wOLH3*$AD128)*$T128 + wRLH*$U128</f>
        <v>78</v>
      </c>
      <c r="S128" s="10">
        <f>wOTH*$V128 + wRTH*$W128</f>
        <v>0</v>
      </c>
      <c r="T128" s="10">
        <f>IF($L128&gt;0,$M128*$AF128,0)</f>
        <v>26</v>
      </c>
      <c r="U128" s="10">
        <f>IF($L128&gt;1,($L128-1)*$M128*$AF128,0)</f>
        <v>0</v>
      </c>
      <c r="V128" s="10">
        <f>IF($N128&gt;0,$O128*$AH128,0)</f>
        <v>0</v>
      </c>
      <c r="W128" s="10">
        <f>IF($N128&gt;1,($N128-1)*$O128*$AH128,0)</f>
        <v>0</v>
      </c>
      <c r="X128" s="12">
        <f>(wAPH1+wAPH2*IF($K128="Y",1,0)+wAPH3*$AJ128)*IF($AE128&gt;0,$M128/$AE128,0)</f>
        <v>50</v>
      </c>
      <c r="Y128" s="33">
        <f>wCMH*MIN($AI128,maxCMH)*IF($AE128&gt;0,$M128/$AE128,1)</f>
        <v>15</v>
      </c>
      <c r="Z128" s="12">
        <f>wCACH1*($T128+$V128) +((1-$AC128)*MIN(wCACH2*$AI128,maxCACH) + $AC128*MIN(wCACH3*$AI128,maxCACH))*IF($AE128&gt;0,$M128/$AE128,1)</f>
        <v>36.664999999999999</v>
      </c>
      <c r="AA128" s="12">
        <f>SUM($P128:$Z128)</f>
        <v>259.26749999999998</v>
      </c>
      <c r="AB128" s="10">
        <f>ROUND(AA128/172.5,1)</f>
        <v>1.5</v>
      </c>
      <c r="AC128" s="14">
        <f>IF(VLOOKUP($A128,Courses!$A$2:$P$268,7,FALSE)="Y",1,0)</f>
        <v>0</v>
      </c>
      <c r="AD128" s="14">
        <f>VLOOKUP($A128,Courses!$A$2:$P$268,8,FALSE)</f>
        <v>0</v>
      </c>
      <c r="AE128" s="14">
        <f>VLOOKUP($A128,Courses!$A$2:$P$268,9,FALSE)</f>
        <v>13</v>
      </c>
      <c r="AF128" s="14">
        <f>VLOOKUP($A128,Courses!$A$2:$P$268,10,FALSE)</f>
        <v>2</v>
      </c>
      <c r="AG128" s="14">
        <f>VLOOKUP($A128,Courses!$A$2:$P$268,11,FALSE)</f>
        <v>12</v>
      </c>
      <c r="AH128" s="15">
        <f>VLOOKUP($A128,Courses!$A$2:$P$268,12,FALSE)</f>
        <v>1</v>
      </c>
      <c r="AI128" s="15">
        <f>VLOOKUP($A128,Courses!$A$2:$P$268,13,FALSE)</f>
        <v>79</v>
      </c>
      <c r="AJ128" s="15">
        <f>VLOOKUP($A128,Courses!$A$2:$P$268,14,FALSE)</f>
        <v>0</v>
      </c>
      <c r="AK128" s="15">
        <f>VLOOKUP($A128,Courses!$A$2:$P$268,15,FALSE)</f>
        <v>0</v>
      </c>
      <c r="AL128" s="15">
        <f>VLOOKUP($A128,Courses!$A$2:$P$268,16,FALSE)</f>
        <v>2</v>
      </c>
    </row>
    <row r="129" spans="1:38">
      <c r="A129" s="13" t="str">
        <f>CONCATENATE(D129,H129)</f>
        <v>ECON7760S2</v>
      </c>
      <c r="B129" s="69" t="s">
        <v>131</v>
      </c>
      <c r="C129" s="70">
        <v>2020</v>
      </c>
      <c r="D129" s="80" t="s">
        <v>159</v>
      </c>
      <c r="E129" s="13" t="str">
        <f>IF(VLOOKUP($A129,Courses!$A$2:$F$268,3,FALSE)=0,"",VLOOKUP($A129,Courses!$A$2:$F$268,3,FALSE))</f>
        <v/>
      </c>
      <c r="F129" s="13" t="str">
        <f>IF(VLOOKUP($A129,Courses!$A$2:$F$268,4,FALSE)=0,"",VLOOKUP($A129,Courses!$A$2:$F$268,4,FALSE))</f>
        <v/>
      </c>
      <c r="G129" s="13" t="str">
        <f>VLOOKUP($A129,Courses!$A$2:$F$268,5,FALSE)</f>
        <v>The Economics of Climate Change</v>
      </c>
      <c r="H129" s="70" t="s">
        <v>254</v>
      </c>
      <c r="I129" s="21" t="s">
        <v>252</v>
      </c>
      <c r="J129" s="128" t="s">
        <v>252</v>
      </c>
      <c r="L129" s="70">
        <v>1</v>
      </c>
      <c r="M129" s="71">
        <v>13</v>
      </c>
      <c r="N129" s="21"/>
      <c r="P129" s="12">
        <f>IF($I129="Y",(wCCH1+wCCH2*$AJ129)*($AE129*$AF129)+(1-$AC129)*MIN(wCCH3*$AI129,maxCCH) + $AC129*MIN(wCCH4*$AI129,maxCCH),0)</f>
        <v>35.045000000000002</v>
      </c>
      <c r="Q129" s="12">
        <f>IF($J129="Y",(wTCH1+wTCH2*IF($K129="Y",1,0))*$AG129*$AH129+(1-$AC129)*MIN(wTCH3*$AI129,maxTCH) + $AC129*MIN(wTCH4*$AI129,maxTCH),0)</f>
        <v>16.1875</v>
      </c>
      <c r="R129" s="10">
        <f>(wOLH1+wOLH2*IF($K129="Y",1,0)+wOLH3*$AD129)*$T129 + wRLH*$U129</f>
        <v>78</v>
      </c>
      <c r="S129" s="10">
        <f>wOTH*$V129 + wRTH*$W129</f>
        <v>0</v>
      </c>
      <c r="T129" s="10">
        <f>IF($L129&gt;0,$M129*$AF129,0)</f>
        <v>26</v>
      </c>
      <c r="U129" s="10">
        <f>IF($L129&gt;1,($L129-1)*$M129*$AF129,0)</f>
        <v>0</v>
      </c>
      <c r="V129" s="10">
        <f>IF($N129&gt;0,$O129*$AH129,0)</f>
        <v>0</v>
      </c>
      <c r="W129" s="10">
        <f>IF($N129&gt;1,($N129-1)*$O129*$AH129,0)</f>
        <v>0</v>
      </c>
      <c r="X129" s="12">
        <f>(wAPH1+wAPH2*IF($K129="Y",1,0)+wAPH3*$AJ129)*IF($AE129&gt;0,$M129/$AE129,0)</f>
        <v>50</v>
      </c>
      <c r="Y129" s="33">
        <f>wCMH*MIN($AI129,maxCMH)*IF($AE129&gt;0,$M129/$AE129,1)</f>
        <v>15</v>
      </c>
      <c r="Z129" s="12">
        <f>wCACH1*($T129+$V129) +((1-$AC129)*MIN(wCACH2*$AI129,maxCACH) + $AC129*MIN(wCACH3*$AI129,maxCACH))*IF($AE129&gt;0,$M129/$AE129,1)</f>
        <v>35.045000000000002</v>
      </c>
      <c r="AA129" s="12">
        <f>SUM($P129:$Z129)</f>
        <v>255.27750000000003</v>
      </c>
      <c r="AB129" s="10">
        <f>ROUND(AA129/172.5,1)</f>
        <v>1.5</v>
      </c>
      <c r="AC129" s="14">
        <f>IF(VLOOKUP($A129,Courses!$A$2:$P$268,7,FALSE)="Y",1,0)</f>
        <v>0</v>
      </c>
      <c r="AD129" s="14">
        <f>VLOOKUP($A129,Courses!$A$2:$P$268,8,FALSE)</f>
        <v>0</v>
      </c>
      <c r="AE129" s="14">
        <f>VLOOKUP($A129,Courses!$A$2:$P$268,9,FALSE)</f>
        <v>13</v>
      </c>
      <c r="AF129" s="14">
        <f>VLOOKUP($A129,Courses!$A$2:$P$268,10,FALSE)</f>
        <v>2</v>
      </c>
      <c r="AG129" s="14">
        <f>VLOOKUP($A129,Courses!$A$2:$P$268,11,FALSE)</f>
        <v>12</v>
      </c>
      <c r="AH129" s="15">
        <f>VLOOKUP($A129,Courses!$A$2:$P$268,12,FALSE)</f>
        <v>1</v>
      </c>
      <c r="AI129" s="15">
        <f>VLOOKUP($A129,Courses!$A$2:$P$268,13,FALSE)</f>
        <v>67</v>
      </c>
      <c r="AJ129" s="15">
        <f>VLOOKUP($A129,Courses!$A$2:$P$268,14,FALSE)</f>
        <v>0</v>
      </c>
      <c r="AK129" s="15">
        <f>VLOOKUP($A129,Courses!$A$2:$P$268,15,FALSE)</f>
        <v>0</v>
      </c>
      <c r="AL129" s="15">
        <f>VLOOKUP($A129,Courses!$A$2:$P$268,16,FALSE)</f>
        <v>2</v>
      </c>
    </row>
    <row r="130" spans="1:38">
      <c r="A130" s="13" t="str">
        <f>CONCATENATE(D130,H130)</f>
        <v>ECON7810S2</v>
      </c>
      <c r="B130" s="129" t="s">
        <v>794</v>
      </c>
      <c r="D130" s="80" t="s">
        <v>77</v>
      </c>
      <c r="E130" s="13" t="str">
        <f>IF(VLOOKUP($A130,Courses!$A$2:$F$268,3,FALSE)=0,"",VLOOKUP($A130,Courses!$A$2:$F$268,3,FALSE))</f>
        <v/>
      </c>
      <c r="F130" s="13" t="str">
        <f>IF(VLOOKUP($A130,Courses!$A$2:$F$268,4,FALSE)=0,"",VLOOKUP($A130,Courses!$A$2:$F$268,4,FALSE))</f>
        <v/>
      </c>
      <c r="G130" s="13" t="str">
        <f>VLOOKUP($A130,Courses!$A$2:$F$268,5,FALSE)</f>
        <v>Economic Evaluation &amp; Health</v>
      </c>
      <c r="H130" s="70" t="s">
        <v>254</v>
      </c>
      <c r="I130" s="21" t="s">
        <v>252</v>
      </c>
      <c r="J130" s="70" t="s">
        <v>252</v>
      </c>
      <c r="K130" s="70" t="s">
        <v>252</v>
      </c>
      <c r="L130" s="70">
        <v>1</v>
      </c>
      <c r="M130" s="71">
        <v>13</v>
      </c>
      <c r="N130" s="21">
        <v>1</v>
      </c>
      <c r="O130" s="70">
        <v>12</v>
      </c>
      <c r="P130" s="12">
        <f>IF($I130="Y",(wCCH1+wCCH2*$AJ130)*($AE130*$AF130)+(1-$AC130)*MIN(wCCH3*$AI130,maxCCH) + $AC130*MIN(wCCH4*$AI130,maxCCH),0)</f>
        <v>28.16</v>
      </c>
      <c r="Q130" s="12">
        <f>IF($J130="Y",(wTCH1+wTCH2*IF($K130="Y",1,0))*$AG130*$AH130+(1-$AC130)*MIN(wTCH3*$AI130,maxTCH) + $AC130*MIN(wTCH4*$AI130,maxTCH),0)</f>
        <v>25</v>
      </c>
      <c r="R130" s="10">
        <f>(wOLH1+wOLH2*IF($K130="Y",1,0)+wOLH3*$AD130)*$T130 + wRLH*$U130</f>
        <v>130</v>
      </c>
      <c r="S130" s="10">
        <f>wOTH*$V130 + wRTH*$W130</f>
        <v>12</v>
      </c>
      <c r="T130" s="10">
        <f>IF($L130&gt;0,$M130*$AF130,0)</f>
        <v>26</v>
      </c>
      <c r="U130" s="10">
        <f>IF($L130&gt;1,($L130-1)*$M130*$AF130,0)</f>
        <v>0</v>
      </c>
      <c r="V130" s="10">
        <f>IF($N130&gt;0,$O130*$AH130,0)</f>
        <v>12</v>
      </c>
      <c r="W130" s="10">
        <f>IF($N130&gt;1,($N130-1)*$O130*$AH130,0)</f>
        <v>0</v>
      </c>
      <c r="X130" s="12">
        <f>(wAPH1+wAPH2*IF($K130="Y",1,0)+wAPH3*$AJ130)*IF($AE130&gt;0,$M130/$AE130,0)</f>
        <v>70</v>
      </c>
      <c r="Y130" s="33">
        <f>wCMH*MIN($AI130,maxCMH)*IF($AE130&gt;0,$M130/$AE130,1)</f>
        <v>15</v>
      </c>
      <c r="Z130" s="12">
        <f>wCACH1*($T130+$V130) +((1-$AC130)*MIN(wCACH2*$AI130,maxCACH) + $AC130*MIN(wCACH3*$AI130,maxCACH))*IF($AE130&gt;0,$M130/$AE130,1)</f>
        <v>40.159999999999997</v>
      </c>
      <c r="AA130" s="12">
        <f>SUM($P130:$Z130)</f>
        <v>358.31999999999994</v>
      </c>
      <c r="AB130" s="10">
        <f>ROUND(AA130/172.5,1)</f>
        <v>2.1</v>
      </c>
      <c r="AC130" s="14">
        <f>IF(VLOOKUP($A130,Courses!$A$2:$P$268,7,FALSE)="Y",1,0)</f>
        <v>0</v>
      </c>
      <c r="AD130" s="14">
        <f>VLOOKUP($A130,Courses!$A$2:$P$268,8,FALSE)</f>
        <v>0</v>
      </c>
      <c r="AE130" s="14">
        <f>VLOOKUP($A130,Courses!$A$2:$P$268,9,FALSE)</f>
        <v>13</v>
      </c>
      <c r="AF130" s="14">
        <f>VLOOKUP($A130,Courses!$A$2:$P$268,10,FALSE)</f>
        <v>2</v>
      </c>
      <c r="AG130" s="14">
        <f>VLOOKUP($A130,Courses!$A$2:$P$268,11,FALSE)</f>
        <v>12</v>
      </c>
      <c r="AH130" s="15">
        <f>VLOOKUP($A130,Courses!$A$2:$P$268,12,FALSE)</f>
        <v>1</v>
      </c>
      <c r="AI130" s="15">
        <f>VLOOKUP($A130,Courses!$A$2:$P$268,13,FALSE)</f>
        <v>16</v>
      </c>
      <c r="AJ130" s="15">
        <f>VLOOKUP($A130,Courses!$A$2:$P$268,14,FALSE)</f>
        <v>0</v>
      </c>
      <c r="AK130" s="15">
        <f>VLOOKUP($A130,Courses!$A$2:$P$268,15,FALSE)</f>
        <v>0</v>
      </c>
      <c r="AL130" s="15">
        <f>VLOOKUP($A130,Courses!$A$2:$P$268,16,FALSE)</f>
        <v>1</v>
      </c>
    </row>
    <row r="131" spans="1:38">
      <c r="A131" s="13" t="str">
        <f>CONCATENATE(D131,H131)</f>
        <v>ECON7820S2</v>
      </c>
      <c r="B131" s="57" t="s">
        <v>143</v>
      </c>
      <c r="C131" s="70">
        <v>2019</v>
      </c>
      <c r="D131" s="80" t="s">
        <v>240</v>
      </c>
      <c r="E131" s="13" t="str">
        <f>IF(VLOOKUP($A131,Courses!$A$2:$F$268,3,FALSE)=0,"",VLOOKUP($A131,Courses!$A$2:$F$268,3,FALSE))</f>
        <v/>
      </c>
      <c r="F131" s="13" t="str">
        <f>IF(VLOOKUP($A131,Courses!$A$2:$F$268,4,FALSE)=0,"",VLOOKUP($A131,Courses!$A$2:$F$268,4,FALSE))</f>
        <v/>
      </c>
      <c r="G131" s="13" t="str">
        <f>VLOOKUP($A131,Courses!$A$2:$F$268,5,FALSE)</f>
        <v>Understanding China</v>
      </c>
      <c r="H131" s="70" t="s">
        <v>254</v>
      </c>
      <c r="I131" s="21" t="s">
        <v>252</v>
      </c>
      <c r="L131" s="120">
        <v>1</v>
      </c>
      <c r="M131" s="71">
        <v>10</v>
      </c>
      <c r="N131" s="21"/>
      <c r="O131" s="21"/>
      <c r="P131" s="12">
        <f>IF($I131="Y",(wCCH1+wCCH2*$AJ131)*($AE131*$AF131)+(1-$AC131)*MIN(wCCH3*$AI131,maxCCH) + $AC131*MIN(wCCH4*$AI131,maxCCH),0)</f>
        <v>39.844999999999999</v>
      </c>
      <c r="Q131" s="12">
        <f>IF($J131="Y",(wTCH1+wTCH2*IF($K131="Y",1,0))*$AG131*$AH131+(1-$AC131)*MIN(wTCH3*$AI131,maxTCH) + $AC131*MIN(wTCH4*$AI131,maxTCH),0)</f>
        <v>0</v>
      </c>
      <c r="R131" s="10">
        <f>(wOLH1+wOLH2*IF($K131="Y",1,0)+wOLH3*$AD131)*$T131 + wRLH*$U131</f>
        <v>60</v>
      </c>
      <c r="S131" s="10">
        <f>wOTH*$V131 + wRTH*$W131</f>
        <v>0</v>
      </c>
      <c r="T131" s="10">
        <f>IF($L131&gt;0,$M131*$AF131,0)</f>
        <v>20</v>
      </c>
      <c r="U131" s="10">
        <f>IF($L131&gt;1,($L131-1)*$M131*$AF131,0)</f>
        <v>0</v>
      </c>
      <c r="V131" s="10">
        <f>IF($N131&gt;0,$O131*$AH131,0)</f>
        <v>0</v>
      </c>
      <c r="W131" s="10">
        <f>IF($N131&gt;1,($N131-1)*$O131*$AH131,0)</f>
        <v>0</v>
      </c>
      <c r="X131" s="12">
        <f>(wAPH1+wAPH2*IF($K131="Y",1,0)+wAPH3*$AJ131)*IF($AE131&gt;0,$M131/$AE131,0)</f>
        <v>50</v>
      </c>
      <c r="Y131" s="33">
        <f>wCMH*MIN($AI131,maxCMH)*IF($AE131&gt;0,$M131/$AE131,1)</f>
        <v>15</v>
      </c>
      <c r="Z131" s="12">
        <f>wCACH1*($T131+$V131) +((1-$AC131)*MIN(wCACH2*$AI131,maxCACH) + $AC131*MIN(wCACH3*$AI131,maxCACH))*IF($AE131&gt;0,$M131/$AE131,1)</f>
        <v>39.844999999999999</v>
      </c>
      <c r="AA131" s="12">
        <f>SUM($P131:$Z131)</f>
        <v>224.69</v>
      </c>
      <c r="AB131" s="10">
        <f>ROUND(AA131/172.5,1)</f>
        <v>1.3</v>
      </c>
      <c r="AC131" s="14">
        <f>IF(VLOOKUP($A131,Courses!$A$2:$P$268,7,FALSE)="Y",1,0)</f>
        <v>0</v>
      </c>
      <c r="AD131" s="14">
        <f>VLOOKUP($A131,Courses!$A$2:$P$268,8,FALSE)</f>
        <v>0</v>
      </c>
      <c r="AE131" s="14">
        <f>VLOOKUP($A131,Courses!$A$2:$P$268,9,FALSE)</f>
        <v>10</v>
      </c>
      <c r="AF131" s="14">
        <f>VLOOKUP($A131,Courses!$A$2:$P$268,10,FALSE)</f>
        <v>2</v>
      </c>
      <c r="AG131" s="14">
        <f>VLOOKUP($A131,Courses!$A$2:$P$268,11,FALSE)</f>
        <v>12</v>
      </c>
      <c r="AH131" s="15">
        <f>VLOOKUP($A131,Courses!$A$2:$P$268,12,FALSE)</f>
        <v>1</v>
      </c>
      <c r="AI131" s="15">
        <f>VLOOKUP($A131,Courses!$A$2:$P$268,13,FALSE)</f>
        <v>147</v>
      </c>
      <c r="AJ131" s="15">
        <f>VLOOKUP($A131,Courses!$A$2:$P$268,14,FALSE)</f>
        <v>0</v>
      </c>
      <c r="AK131" s="15">
        <f>VLOOKUP($A131,Courses!$A$2:$P$268,15,FALSE)</f>
        <v>0</v>
      </c>
      <c r="AL131" s="15">
        <f>VLOOKUP($A131,Courses!$A$2:$P$268,16,FALSE)</f>
        <v>4</v>
      </c>
    </row>
    <row r="132" spans="1:38">
      <c r="A132" s="13" t="str">
        <f>CONCATENATE(D132,H132)</f>
        <v>ECON7830S2</v>
      </c>
      <c r="B132" s="129" t="s">
        <v>795</v>
      </c>
      <c r="D132" s="80" t="s">
        <v>48</v>
      </c>
      <c r="E132" s="13" t="str">
        <f>IF(VLOOKUP($A132,Courses!$A$2:$F$268,3,FALSE)=0,"",VLOOKUP($A132,Courses!$A$2:$F$268,3,FALSE))</f>
        <v/>
      </c>
      <c r="F132" s="13" t="str">
        <f>IF(VLOOKUP($A132,Courses!$A$2:$F$268,4,FALSE)=0,"",VLOOKUP($A132,Courses!$A$2:$F$268,4,FALSE))</f>
        <v/>
      </c>
      <c r="G132" s="13" t="str">
        <f>VLOOKUP($A132,Courses!$A$2:$F$268,5,FALSE)</f>
        <v>Health Economics and Policy</v>
      </c>
      <c r="H132" s="70" t="s">
        <v>254</v>
      </c>
      <c r="I132" s="21" t="s">
        <v>252</v>
      </c>
      <c r="J132" s="70" t="s">
        <v>252</v>
      </c>
      <c r="K132" s="70" t="s">
        <v>252</v>
      </c>
      <c r="L132" s="70">
        <v>1</v>
      </c>
      <c r="M132" s="71">
        <v>13</v>
      </c>
      <c r="N132" s="21">
        <v>1</v>
      </c>
      <c r="O132" s="70">
        <v>12</v>
      </c>
      <c r="P132" s="12">
        <f>IF($I132="Y",(wCCH1+wCCH2*$AJ132)*($AE132*$AF132)+(1-$AC132)*MIN(wCCH3*$AI132,maxCCH) + $AC132*MIN(wCCH4*$AI132,maxCCH),0)</f>
        <v>28.295000000000002</v>
      </c>
      <c r="Q132" s="12">
        <f>IF($J132="Y",(wTCH1+wTCH2*IF($K132="Y",1,0))*$AG132*$AH132+(1-$AC132)*MIN(wTCH3*$AI132,maxTCH) + $AC132*MIN(wTCH4*$AI132,maxTCH),0)</f>
        <v>25.0625</v>
      </c>
      <c r="R132" s="10">
        <f>(wOLH1+wOLH2*IF($K132="Y",1,0)+wOLH3*$AD132)*$T132 + wRLH*$U132</f>
        <v>130</v>
      </c>
      <c r="S132" s="10">
        <f>wOTH*$V132 + wRTH*$W132</f>
        <v>12</v>
      </c>
      <c r="T132" s="10">
        <f>IF($L132&gt;0,$M132*$AF132,0)</f>
        <v>26</v>
      </c>
      <c r="U132" s="10">
        <f>IF($L132&gt;1,($L132-1)*$M132*$AF132,0)</f>
        <v>0</v>
      </c>
      <c r="V132" s="10">
        <f>IF($N132&gt;0,$O132*$AH132,0)</f>
        <v>12</v>
      </c>
      <c r="W132" s="10">
        <f>IF($N132&gt;1,($N132-1)*$O132*$AH132,0)</f>
        <v>0</v>
      </c>
      <c r="X132" s="12">
        <f>(wAPH1+wAPH2*IF($K132="Y",1,0)+wAPH3*$AJ132)*IF($AE132&gt;0,$M132/$AE132,0)</f>
        <v>70</v>
      </c>
      <c r="Y132" s="33">
        <f>wCMH*MIN($AI132,maxCMH)*IF($AE132&gt;0,$M132/$AE132,1)</f>
        <v>15</v>
      </c>
      <c r="Z132" s="12">
        <f>wCACH1*($T132+$V132) +((1-$AC132)*MIN(wCACH2*$AI132,maxCACH) + $AC132*MIN(wCACH3*$AI132,maxCACH))*IF($AE132&gt;0,$M132/$AE132,1)</f>
        <v>40.295000000000002</v>
      </c>
      <c r="AA132" s="12">
        <f>SUM($P132:$Z132)</f>
        <v>358.65250000000003</v>
      </c>
      <c r="AB132" s="10">
        <f>ROUND(AA132/172.5,1)</f>
        <v>2.1</v>
      </c>
      <c r="AC132" s="14">
        <f>IF(VLOOKUP($A132,Courses!$A$2:$P$268,7,FALSE)="Y",1,0)</f>
        <v>0</v>
      </c>
      <c r="AD132" s="14">
        <f>VLOOKUP($A132,Courses!$A$2:$P$268,8,FALSE)</f>
        <v>0</v>
      </c>
      <c r="AE132" s="14">
        <f>VLOOKUP($A132,Courses!$A$2:$P$268,9,FALSE)</f>
        <v>13</v>
      </c>
      <c r="AF132" s="14">
        <f>VLOOKUP($A132,Courses!$A$2:$P$268,10,FALSE)</f>
        <v>2</v>
      </c>
      <c r="AG132" s="14">
        <f>VLOOKUP($A132,Courses!$A$2:$P$268,11,FALSE)</f>
        <v>12</v>
      </c>
      <c r="AH132" s="15">
        <f>VLOOKUP($A132,Courses!$A$2:$P$268,12,FALSE)</f>
        <v>1</v>
      </c>
      <c r="AI132" s="15">
        <f>VLOOKUP($A132,Courses!$A$2:$P$268,13,FALSE)</f>
        <v>17</v>
      </c>
      <c r="AJ132" s="15">
        <f>VLOOKUP($A132,Courses!$A$2:$P$268,14,FALSE)</f>
        <v>0</v>
      </c>
      <c r="AK132" s="15">
        <f>VLOOKUP($A132,Courses!$A$2:$P$268,15,FALSE)</f>
        <v>0</v>
      </c>
      <c r="AL132" s="15">
        <f>VLOOKUP($A132,Courses!$A$2:$P$268,16,FALSE)</f>
        <v>1</v>
      </c>
    </row>
    <row r="133" spans="1:38">
      <c r="A133" s="13" t="str">
        <f>CONCATENATE(D133,H133)</f>
        <v>ECON7930S1</v>
      </c>
      <c r="B133" s="69" t="s">
        <v>13</v>
      </c>
      <c r="D133" s="80" t="s">
        <v>157</v>
      </c>
      <c r="E133" s="13" t="str">
        <f>IF(VLOOKUP($A133,Courses!$A$2:$F$268,3,FALSE)=0,"",VLOOKUP($A133,Courses!$A$2:$F$268,3,FALSE))</f>
        <v>ECON7931</v>
      </c>
      <c r="F133" s="13" t="str">
        <f>IF(VLOOKUP($A133,Courses!$A$2:$F$268,4,FALSE)=0,"",VLOOKUP($A133,Courses!$A$2:$F$268,4,FALSE))</f>
        <v>ECON7932</v>
      </c>
      <c r="G133" s="13" t="str">
        <f>VLOOKUP($A133,Courses!$A$2:$F$268,5,FALSE)</f>
        <v>Thesis</v>
      </c>
      <c r="H133" s="70" t="s">
        <v>253</v>
      </c>
      <c r="I133" s="21" t="s">
        <v>252</v>
      </c>
      <c r="L133" s="120"/>
      <c r="M133" s="71"/>
      <c r="N133" s="21">
        <v>1</v>
      </c>
      <c r="O133" s="21">
        <v>1</v>
      </c>
      <c r="P133" s="12">
        <f>IF($I133="Y",(wCCH1+wCCH2*$AJ133)*($AE133*$AF133)+(1-$AC133)*MIN(wCCH3*$AI133,maxCCH) + $AC133*MIN(wCCH4*$AI133,maxCCH),0)</f>
        <v>2.97</v>
      </c>
      <c r="Q133" s="12">
        <f>IF($J133="Y",(wTCH1+wTCH2*IF($K133="Y",1,0))*$AG133*$AH133+(1-$AC133)*MIN(wTCH3*$AI133,maxTCH) + $AC133*MIN(wTCH4*$AI133,maxTCH),0)</f>
        <v>0</v>
      </c>
      <c r="R133" s="10">
        <f>(wOLH1+wOLH2*IF($K133="Y",1,0)+wOLH3*$AD133)*$T133 + wRLH*$U133</f>
        <v>0</v>
      </c>
      <c r="S133" s="10">
        <f>wOTH*$V133 + wRTH*$W133</f>
        <v>2</v>
      </c>
      <c r="T133" s="10">
        <f>IF($L133&gt;0,$M133*$AF133,0)</f>
        <v>0</v>
      </c>
      <c r="U133" s="10">
        <f>IF($L133&gt;1,($L133-1)*$M133*$AF133,0)</f>
        <v>0</v>
      </c>
      <c r="V133" s="10">
        <f>IF($N133&gt;0,$O133*$AH133,0)</f>
        <v>2</v>
      </c>
      <c r="W133" s="10">
        <f>IF($N133&gt;1,($N133-1)*$O133*$AH133,0)</f>
        <v>0</v>
      </c>
      <c r="X133" s="12">
        <f>(wAPH1+wAPH2*IF($K133="Y",1,0)+wAPH3*$AJ133)*IF($AE133&gt;0,$M133/$AE133,0)</f>
        <v>0</v>
      </c>
      <c r="Y133" s="33">
        <f>wCMH*MIN($AI133,maxCMH)*IF($AE133&gt;0,$M133/$AE133,1)</f>
        <v>15</v>
      </c>
      <c r="Z133" s="12">
        <f>wCACH1*($T133+$V133) +((1-$AC133)*MIN(wCACH2*$AI133,maxCACH) + $AC133*MIN(wCACH3*$AI133,maxCACH))*IF($AE133&gt;0,$M133/$AE133,1)</f>
        <v>4.9700000000000006</v>
      </c>
      <c r="AA133" s="12">
        <f>SUM($P133:$Z133)</f>
        <v>26.939999999999998</v>
      </c>
      <c r="AB133" s="10">
        <f>ROUND(AA133/172.5,1)</f>
        <v>0.2</v>
      </c>
      <c r="AC133" s="14">
        <f>IF(VLOOKUP($A133,Courses!$A$2:$P$268,7,FALSE)="Y",1,0)</f>
        <v>0</v>
      </c>
      <c r="AD133" s="14">
        <f>VLOOKUP($A133,Courses!$A$2:$P$268,8,FALSE)</f>
        <v>0</v>
      </c>
      <c r="AE133" s="14">
        <f>VLOOKUP($A133,Courses!$A$2:$P$268,9,FALSE)</f>
        <v>0</v>
      </c>
      <c r="AF133" s="14">
        <f>VLOOKUP($A133,Courses!$A$2:$P$268,10,FALSE)</f>
        <v>0</v>
      </c>
      <c r="AG133" s="14">
        <f>VLOOKUP($A133,Courses!$A$2:$P$268,11,FALSE)</f>
        <v>1</v>
      </c>
      <c r="AH133" s="15">
        <f>VLOOKUP($A133,Courses!$A$2:$P$268,12,FALSE)</f>
        <v>2</v>
      </c>
      <c r="AI133" s="15">
        <f>VLOOKUP($A133,Courses!$A$2:$P$268,13,FALSE)</f>
        <v>22</v>
      </c>
      <c r="AJ133" s="15">
        <f>VLOOKUP($A133,Courses!$A$2:$P$268,14,FALSE)</f>
        <v>2</v>
      </c>
      <c r="AK133" s="15">
        <f>VLOOKUP($A133,Courses!$A$2:$P$268,15,FALSE)</f>
        <v>0</v>
      </c>
      <c r="AL133" s="15">
        <f>VLOOKUP($A133,Courses!$A$2:$P$268,16,FALSE)</f>
        <v>1</v>
      </c>
    </row>
    <row r="134" spans="1:38">
      <c r="A134" s="13" t="str">
        <f>CONCATENATE(D134,H134)</f>
        <v>ECON7930S2</v>
      </c>
      <c r="B134" s="69" t="s">
        <v>13</v>
      </c>
      <c r="D134" s="80" t="s">
        <v>157</v>
      </c>
      <c r="E134" s="13" t="str">
        <f>IF(VLOOKUP($A134,Courses!$A$2:$F$268,3,FALSE)=0,"",VLOOKUP($A134,Courses!$A$2:$F$268,3,FALSE))</f>
        <v>ECON7931</v>
      </c>
      <c r="F134" s="13" t="str">
        <f>IF(VLOOKUP($A134,Courses!$A$2:$F$268,4,FALSE)=0,"",VLOOKUP($A134,Courses!$A$2:$F$268,4,FALSE))</f>
        <v>ECON7932</v>
      </c>
      <c r="G134" s="13" t="str">
        <f>VLOOKUP($A134,Courses!$A$2:$F$268,5,FALSE)</f>
        <v>Thesis</v>
      </c>
      <c r="H134" s="70" t="s">
        <v>254</v>
      </c>
      <c r="I134" s="21" t="s">
        <v>252</v>
      </c>
      <c r="M134" s="71"/>
      <c r="N134" s="21">
        <v>1</v>
      </c>
      <c r="O134" s="70">
        <v>1</v>
      </c>
      <c r="P134" s="12">
        <f>IF($I134="Y",(wCCH1+wCCH2*$AJ134)*($AE134*$AF134)+(1-$AC134)*MIN(wCCH3*$AI134,maxCCH) + $AC134*MIN(wCCH4*$AI134,maxCCH),0)</f>
        <v>3.915</v>
      </c>
      <c r="Q134" s="12">
        <f>IF($J134="Y",(wTCH1+wTCH2*IF($K134="Y",1,0))*$AG134*$AH134+(1-$AC134)*MIN(wTCH3*$AI134,maxTCH) + $AC134*MIN(wTCH4*$AI134,maxTCH),0)</f>
        <v>0</v>
      </c>
      <c r="R134" s="10">
        <f>(wOLH1+wOLH2*IF($K134="Y",1,0)+wOLH3*$AD134)*$T134 + wRLH*$U134</f>
        <v>0</v>
      </c>
      <c r="S134" s="10">
        <f>wOTH*$V134 + wRTH*$W134</f>
        <v>2</v>
      </c>
      <c r="T134" s="10">
        <f>IF($L134&gt;0,$M134*$AF134,0)</f>
        <v>0</v>
      </c>
      <c r="U134" s="10">
        <f>IF($L134&gt;1,($L134-1)*$M134*$AF134,0)</f>
        <v>0</v>
      </c>
      <c r="V134" s="10">
        <f>IF($N134&gt;0,$O134*$AH134,0)</f>
        <v>2</v>
      </c>
      <c r="W134" s="10">
        <f>IF($N134&gt;1,($N134-1)*$O134*$AH134,0)</f>
        <v>0</v>
      </c>
      <c r="X134" s="12">
        <f>(wAPH1+wAPH2*IF($K134="Y",1,0)+wAPH3*$AJ134)*IF($AE134&gt;0,$M134/$AE134,0)</f>
        <v>0</v>
      </c>
      <c r="Y134" s="33">
        <f>wCMH*MIN($AI134,maxCMH)*IF($AE134&gt;0,$M134/$AE134,1)</f>
        <v>15</v>
      </c>
      <c r="Z134" s="12">
        <f>wCACH1*($T134+$V134) +((1-$AC134)*MIN(wCACH2*$AI134,maxCACH) + $AC134*MIN(wCACH3*$AI134,maxCACH))*IF($AE134&gt;0,$M134/$AE134,1)</f>
        <v>5.915</v>
      </c>
      <c r="AA134" s="12">
        <f>SUM($P134:$Z134)</f>
        <v>28.83</v>
      </c>
      <c r="AB134" s="10">
        <f>ROUND(AA134/172.5,1)</f>
        <v>0.2</v>
      </c>
      <c r="AC134" s="14">
        <f>IF(VLOOKUP($A134,Courses!$A$2:$P$268,7,FALSE)="Y",1,0)</f>
        <v>0</v>
      </c>
      <c r="AD134" s="14">
        <f>VLOOKUP($A134,Courses!$A$2:$P$268,8,FALSE)</f>
        <v>0</v>
      </c>
      <c r="AE134" s="14">
        <f>VLOOKUP($A134,Courses!$A$2:$P$268,9,FALSE)</f>
        <v>0</v>
      </c>
      <c r="AF134" s="14">
        <f>VLOOKUP($A134,Courses!$A$2:$P$268,10,FALSE)</f>
        <v>0</v>
      </c>
      <c r="AG134" s="14">
        <f>VLOOKUP($A134,Courses!$A$2:$P$268,11,FALSE)</f>
        <v>1</v>
      </c>
      <c r="AH134" s="15">
        <f>VLOOKUP($A134,Courses!$A$2:$P$268,12,FALSE)</f>
        <v>2</v>
      </c>
      <c r="AI134" s="15">
        <f>VLOOKUP($A134,Courses!$A$2:$P$268,13,FALSE)</f>
        <v>29</v>
      </c>
      <c r="AJ134" s="15">
        <f>VLOOKUP($A134,Courses!$A$2:$P$268,14,FALSE)</f>
        <v>2</v>
      </c>
      <c r="AK134" s="15">
        <f>VLOOKUP($A134,Courses!$A$2:$P$268,15,FALSE)</f>
        <v>0</v>
      </c>
      <c r="AL134" s="15">
        <f>VLOOKUP($A134,Courses!$A$2:$P$268,16,FALSE)</f>
        <v>1</v>
      </c>
    </row>
    <row r="135" spans="1:38">
      <c r="A135" s="13" t="str">
        <f>CONCATENATE(D135,H135)</f>
        <v>ECON7930S3</v>
      </c>
      <c r="B135" s="69" t="s">
        <v>13</v>
      </c>
      <c r="D135" s="80" t="s">
        <v>157</v>
      </c>
      <c r="E135" s="13" t="str">
        <f>IF(VLOOKUP($A135,Courses!$A$2:$F$268,3,FALSE)=0,"",VLOOKUP($A135,Courses!$A$2:$F$268,3,FALSE))</f>
        <v/>
      </c>
      <c r="F135" s="13" t="str">
        <f>IF(VLOOKUP($A135,Courses!$A$2:$F$268,4,FALSE)=0,"",VLOOKUP($A135,Courses!$A$2:$F$268,4,FALSE))</f>
        <v/>
      </c>
      <c r="G135" s="13" t="str">
        <f>VLOOKUP($A135,Courses!$A$2:$F$268,5,FALSE)</f>
        <v>Thesis</v>
      </c>
      <c r="H135" s="70" t="s">
        <v>255</v>
      </c>
      <c r="I135" s="21" t="s">
        <v>252</v>
      </c>
      <c r="M135" s="71"/>
      <c r="N135" s="21">
        <v>1</v>
      </c>
      <c r="O135" s="70">
        <v>1</v>
      </c>
      <c r="P135" s="12">
        <f>IF($I135="Y",(wCCH1+wCCH2*$AJ135)*($AE135*$AF135)+(1-$AC135)*MIN(wCCH3*$AI135,maxCCH) + $AC135*MIN(wCCH4*$AI135,maxCCH),0)</f>
        <v>0.13500000000000001</v>
      </c>
      <c r="Q135" s="12">
        <f>IF($J135="Y",(wTCH1+wTCH2*IF($K135="Y",1,0))*$AG135*$AH135+(1-$AC135)*MIN(wTCH3*$AI135,maxTCH) + $AC135*MIN(wTCH4*$AI135,maxTCH),0)</f>
        <v>0</v>
      </c>
      <c r="R135" s="10">
        <f>(wOLH1+wOLH2*IF($K135="Y",1,0)+wOLH3*$AD135)*$T135 + wRLH*$U135</f>
        <v>0</v>
      </c>
      <c r="S135" s="10">
        <f>wOTH*$V135 + wRTH*$W135</f>
        <v>1.5</v>
      </c>
      <c r="T135" s="10">
        <f>IF($L135&gt;0,$M135*$AF135,0)</f>
        <v>0</v>
      </c>
      <c r="U135" s="10">
        <f>IF($L135&gt;1,($L135-1)*$M135*$AF135,0)</f>
        <v>0</v>
      </c>
      <c r="V135" s="10">
        <f>IF($N135&gt;0,$O135*$AH135,0)</f>
        <v>1.5</v>
      </c>
      <c r="W135" s="10">
        <f>IF($N135&gt;1,($N135-1)*$O135*$AH135,0)</f>
        <v>0</v>
      </c>
      <c r="X135" s="12">
        <f>(wAPH1+wAPH2*IF($K135="Y",1,0)+wAPH3*$AJ135)*IF($AE135&gt;0,$M135/$AE135,0)</f>
        <v>0</v>
      </c>
      <c r="Y135" s="33">
        <f>wCMH*MIN($AI135,maxCMH)*IF($AE135&gt;0,$M135/$AE135,1)</f>
        <v>1</v>
      </c>
      <c r="Z135" s="12">
        <f>wCACH1*($T135+$V135) +((1-$AC135)*MIN(wCACH2*$AI135,maxCACH) + $AC135*MIN(wCACH3*$AI135,maxCACH))*IF($AE135&gt;0,$M135/$AE135,1)</f>
        <v>1.635</v>
      </c>
      <c r="AA135" s="12">
        <f>SUM($P135:$Z135)</f>
        <v>5.77</v>
      </c>
      <c r="AB135" s="10">
        <f>ROUND(AA135/172.5,1)</f>
        <v>0</v>
      </c>
      <c r="AC135" s="14">
        <f>IF(VLOOKUP($A135,Courses!$A$2:$P$268,7,FALSE)="Y",1,0)</f>
        <v>0</v>
      </c>
      <c r="AD135" s="14">
        <f>VLOOKUP($A135,Courses!$A$2:$P$268,8,FALSE)</f>
        <v>0</v>
      </c>
      <c r="AE135" s="14">
        <f>VLOOKUP($A135,Courses!$A$2:$P$268,9,FALSE)</f>
        <v>0</v>
      </c>
      <c r="AF135" s="14">
        <f>VLOOKUP($A135,Courses!$A$2:$P$268,10,FALSE)</f>
        <v>0</v>
      </c>
      <c r="AG135" s="14">
        <f>VLOOKUP($A135,Courses!$A$2:$P$268,11,FALSE)</f>
        <v>1</v>
      </c>
      <c r="AH135" s="15">
        <f>VLOOKUP($A135,Courses!$A$2:$P$268,12,FALSE)</f>
        <v>1.5</v>
      </c>
      <c r="AI135" s="15">
        <f>VLOOKUP($A135,Courses!$A$2:$P$268,13,FALSE)</f>
        <v>1</v>
      </c>
      <c r="AJ135" s="15">
        <f>VLOOKUP($A135,Courses!$A$2:$P$268,14,FALSE)</f>
        <v>0</v>
      </c>
      <c r="AK135" s="15">
        <f>VLOOKUP($A135,Courses!$A$2:$P$268,15,FALSE)</f>
        <v>0</v>
      </c>
      <c r="AL135" s="15">
        <f>VLOOKUP($A135,Courses!$A$2:$P$268,16,FALSE)</f>
        <v>1</v>
      </c>
    </row>
    <row r="136" spans="1:38">
      <c r="A136" s="13" t="str">
        <f>CONCATENATE(D136,H136)</f>
        <v>ECON7940S1</v>
      </c>
      <c r="B136" s="69" t="s">
        <v>13</v>
      </c>
      <c r="D136" s="80" t="s">
        <v>158</v>
      </c>
      <c r="E136" s="13" t="str">
        <f>IF(VLOOKUP($A136,Courses!$A$2:$F$268,3,FALSE)=0,"",VLOOKUP($A136,Courses!$A$2:$F$268,3,FALSE))</f>
        <v>ECON7941</v>
      </c>
      <c r="F136" s="13" t="str">
        <f>IF(VLOOKUP($A136,Courses!$A$2:$F$268,4,FALSE)=0,"",VLOOKUP($A136,Courses!$A$2:$F$268,4,FALSE))</f>
        <v>ECON7942</v>
      </c>
      <c r="G136" s="13" t="str">
        <f>VLOOKUP($A136,Courses!$A$2:$F$268,5,FALSE)</f>
        <v>Masters Thesis</v>
      </c>
      <c r="H136" s="70" t="s">
        <v>253</v>
      </c>
      <c r="I136" s="21" t="s">
        <v>252</v>
      </c>
      <c r="L136" s="120"/>
      <c r="M136" s="71"/>
      <c r="N136" s="21">
        <v>1</v>
      </c>
      <c r="O136" s="21">
        <v>1</v>
      </c>
      <c r="P136" s="12">
        <f>IF($I136="Y",(wCCH1+wCCH2*$AJ136)*($AE136*$AF136)+(1-$AC136)*MIN(wCCH3*$AI136,maxCCH) + $AC136*MIN(wCCH4*$AI136,maxCCH),0)</f>
        <v>0.13500000000000001</v>
      </c>
      <c r="Q136" s="12">
        <f>IF($J136="Y",(wTCH1+wTCH2*IF($K136="Y",1,0))*$AG136*$AH136+(1-$AC136)*MIN(wTCH3*$AI136,maxTCH) + $AC136*MIN(wTCH4*$AI136,maxTCH),0)</f>
        <v>0</v>
      </c>
      <c r="R136" s="10">
        <f>(wOLH1+wOLH2*IF($K136="Y",1,0)+wOLH3*$AD136)*$T136 + wRLH*$U136</f>
        <v>0</v>
      </c>
      <c r="S136" s="10">
        <f>wOTH*$V136 + wRTH*$W136</f>
        <v>2</v>
      </c>
      <c r="T136" s="10">
        <f>IF($L136&gt;0,$M136*$AF136,0)</f>
        <v>0</v>
      </c>
      <c r="U136" s="10">
        <f>IF($L136&gt;1,($L136-1)*$M136*$AF136,0)</f>
        <v>0</v>
      </c>
      <c r="V136" s="10">
        <f>IF($N136&gt;0,$O136*$AH136,0)</f>
        <v>2</v>
      </c>
      <c r="W136" s="10">
        <f>IF($N136&gt;1,($N136-1)*$O136*$AH136,0)</f>
        <v>0</v>
      </c>
      <c r="X136" s="12">
        <f>(wAPH1+wAPH2*IF($K136="Y",1,0)+wAPH3*$AJ136)*IF($AE136&gt;0,$M136/$AE136,0)</f>
        <v>0</v>
      </c>
      <c r="Y136" s="33">
        <f>wCMH*MIN($AI136,maxCMH)*IF($AE136&gt;0,$M136/$AE136,1)</f>
        <v>1</v>
      </c>
      <c r="Z136" s="12">
        <f>wCACH1*($T136+$V136) +((1-$AC136)*MIN(wCACH2*$AI136,maxCACH) + $AC136*MIN(wCACH3*$AI136,maxCACH))*IF($AE136&gt;0,$M136/$AE136,1)</f>
        <v>2.1349999999999998</v>
      </c>
      <c r="AA136" s="12">
        <f>SUM($P136:$Z136)</f>
        <v>7.27</v>
      </c>
      <c r="AB136" s="10">
        <f>ROUND(AA136/172.5,1)</f>
        <v>0</v>
      </c>
      <c r="AC136" s="14">
        <f>IF(VLOOKUP($A136,Courses!$A$2:$P$268,7,FALSE)="Y",1,0)</f>
        <v>0</v>
      </c>
      <c r="AD136" s="14">
        <f>VLOOKUP($A136,Courses!$A$2:$P$268,8,FALSE)</f>
        <v>0</v>
      </c>
      <c r="AE136" s="14">
        <f>VLOOKUP($A136,Courses!$A$2:$P$268,9,FALSE)</f>
        <v>0</v>
      </c>
      <c r="AF136" s="14">
        <f>VLOOKUP($A136,Courses!$A$2:$P$268,10,FALSE)</f>
        <v>0</v>
      </c>
      <c r="AG136" s="14">
        <f>VLOOKUP($A136,Courses!$A$2:$P$268,11,FALSE)</f>
        <v>1</v>
      </c>
      <c r="AH136" s="15">
        <f>VLOOKUP($A136,Courses!$A$2:$P$268,12,FALSE)</f>
        <v>2</v>
      </c>
      <c r="AI136" s="15">
        <f>VLOOKUP($A136,Courses!$A$2:$P$268,13,FALSE)</f>
        <v>1</v>
      </c>
      <c r="AJ136" s="15">
        <f>VLOOKUP($A136,Courses!$A$2:$P$268,14,FALSE)</f>
        <v>2</v>
      </c>
      <c r="AK136" s="15">
        <f>VLOOKUP($A136,Courses!$A$2:$P$268,15,FALSE)</f>
        <v>0</v>
      </c>
      <c r="AL136" s="15">
        <f>VLOOKUP($A136,Courses!$A$2:$P$268,16,FALSE)</f>
        <v>1</v>
      </c>
    </row>
    <row r="137" spans="1:38">
      <c r="A137" s="13" t="str">
        <f>CONCATENATE(D137,H137)</f>
        <v>ECON7940S2</v>
      </c>
      <c r="B137" s="69" t="s">
        <v>13</v>
      </c>
      <c r="D137" s="80" t="s">
        <v>158</v>
      </c>
      <c r="E137" s="13" t="str">
        <f>IF(VLOOKUP($A137,Courses!$A$2:$F$268,3,FALSE)=0,"",VLOOKUP($A137,Courses!$A$2:$F$268,3,FALSE))</f>
        <v>ECON7941</v>
      </c>
      <c r="F137" s="13" t="str">
        <f>IF(VLOOKUP($A137,Courses!$A$2:$F$268,4,FALSE)=0,"",VLOOKUP($A137,Courses!$A$2:$F$268,4,FALSE))</f>
        <v>ECON7942</v>
      </c>
      <c r="G137" s="13" t="str">
        <f>VLOOKUP($A137,Courses!$A$2:$F$268,5,FALSE)</f>
        <v>Masters Thesis</v>
      </c>
      <c r="H137" s="70" t="s">
        <v>254</v>
      </c>
      <c r="I137" s="21" t="s">
        <v>252</v>
      </c>
      <c r="M137" s="71"/>
      <c r="N137" s="21">
        <v>1</v>
      </c>
      <c r="O137" s="70">
        <v>1</v>
      </c>
      <c r="P137" s="12">
        <f>IF($I137="Y",(wCCH1+wCCH2*$AJ137)*($AE137*$AF137)+(1-$AC137)*MIN(wCCH3*$AI137,maxCCH) + $AC137*MIN(wCCH4*$AI137,maxCCH),0)</f>
        <v>0.27</v>
      </c>
      <c r="Q137" s="12">
        <f>IF($J137="Y",(wTCH1+wTCH2*IF($K137="Y",1,0))*$AG137*$AH137+(1-$AC137)*MIN(wTCH3*$AI137,maxTCH) + $AC137*MIN(wTCH4*$AI137,maxTCH),0)</f>
        <v>0</v>
      </c>
      <c r="R137" s="10">
        <f>(wOLH1+wOLH2*IF($K137="Y",1,0)+wOLH3*$AD137)*$T137 + wRLH*$U137</f>
        <v>0</v>
      </c>
      <c r="S137" s="10">
        <f>wOTH*$V137 + wRTH*$W137</f>
        <v>2</v>
      </c>
      <c r="T137" s="10">
        <f>IF($L137&gt;0,$M137*$AF137,0)</f>
        <v>0</v>
      </c>
      <c r="U137" s="10">
        <f>IF($L137&gt;1,($L137-1)*$M137*$AF137,0)</f>
        <v>0</v>
      </c>
      <c r="V137" s="10">
        <f>IF($N137&gt;0,$O137*$AH137,0)</f>
        <v>2</v>
      </c>
      <c r="W137" s="10">
        <f>IF($N137&gt;1,($N137-1)*$O137*$AH137,0)</f>
        <v>0</v>
      </c>
      <c r="X137" s="12">
        <f>(wAPH1+wAPH2*IF($K137="Y",1,0)+wAPH3*$AJ137)*IF($AE137&gt;0,$M137/$AE137,0)</f>
        <v>0</v>
      </c>
      <c r="Y137" s="33">
        <f>wCMH*MIN($AI137,maxCMH)*IF($AE137&gt;0,$M137/$AE137,1)</f>
        <v>2</v>
      </c>
      <c r="Z137" s="12">
        <f>wCACH1*($T137+$V137) +((1-$AC137)*MIN(wCACH2*$AI137,maxCACH) + $AC137*MIN(wCACH3*$AI137,maxCACH))*IF($AE137&gt;0,$M137/$AE137,1)</f>
        <v>2.27</v>
      </c>
      <c r="AA137" s="12">
        <f>SUM($P137:$Z137)</f>
        <v>8.5399999999999991</v>
      </c>
      <c r="AB137" s="10">
        <f>ROUND(AA137/172.5,1)</f>
        <v>0</v>
      </c>
      <c r="AC137" s="14">
        <f>IF(VLOOKUP($A137,Courses!$A$2:$P$268,7,FALSE)="Y",1,0)</f>
        <v>0</v>
      </c>
      <c r="AD137" s="14">
        <f>VLOOKUP($A137,Courses!$A$2:$P$268,8,FALSE)</f>
        <v>0</v>
      </c>
      <c r="AE137" s="14">
        <f>VLOOKUP($A137,Courses!$A$2:$P$268,9,FALSE)</f>
        <v>0</v>
      </c>
      <c r="AF137" s="14">
        <f>VLOOKUP($A137,Courses!$A$2:$P$268,10,FALSE)</f>
        <v>0</v>
      </c>
      <c r="AG137" s="14">
        <f>VLOOKUP($A137,Courses!$A$2:$P$268,11,FALSE)</f>
        <v>1</v>
      </c>
      <c r="AH137" s="15">
        <f>VLOOKUP($A137,Courses!$A$2:$P$268,12,FALSE)</f>
        <v>2</v>
      </c>
      <c r="AI137" s="15">
        <f>VLOOKUP($A137,Courses!$A$2:$P$268,13,FALSE)</f>
        <v>2</v>
      </c>
      <c r="AJ137" s="15">
        <f>VLOOKUP($A137,Courses!$A$2:$P$268,14,FALSE)</f>
        <v>2</v>
      </c>
      <c r="AK137" s="15">
        <f>VLOOKUP($A137,Courses!$A$2:$P$268,15,FALSE)</f>
        <v>0</v>
      </c>
      <c r="AL137" s="15">
        <f>VLOOKUP($A137,Courses!$A$2:$P$268,16,FALSE)</f>
        <v>1</v>
      </c>
    </row>
    <row r="138" spans="1:38">
      <c r="A138" s="13" t="str">
        <f>CONCATENATE(D138,H138)</f>
        <v>ECON7950S1</v>
      </c>
      <c r="B138" s="57" t="s">
        <v>809</v>
      </c>
      <c r="D138" s="80" t="s">
        <v>146</v>
      </c>
      <c r="E138" s="13" t="str">
        <f>IF(VLOOKUP($A138,Courses!$A$2:$F$268,3,FALSE)=0,"",VLOOKUP($A138,Courses!$A$2:$F$268,3,FALSE))</f>
        <v/>
      </c>
      <c r="F138" s="13" t="str">
        <f>IF(VLOOKUP($A138,Courses!$A$2:$F$268,4,FALSE)=0,"",VLOOKUP($A138,Courses!$A$2:$F$268,4,FALSE))</f>
        <v/>
      </c>
      <c r="G138" s="13" t="str">
        <f>VLOOKUP($A138,Courses!$A$2:$F$268,5,FALSE)</f>
        <v>Research Methods in Economics</v>
      </c>
      <c r="H138" s="70" t="s">
        <v>253</v>
      </c>
      <c r="I138" s="21" t="s">
        <v>252</v>
      </c>
      <c r="K138" s="70" t="s">
        <v>252</v>
      </c>
      <c r="L138" s="120">
        <v>1</v>
      </c>
      <c r="M138" s="71">
        <v>10</v>
      </c>
      <c r="N138" s="21"/>
      <c r="O138" s="21"/>
      <c r="P138" s="12">
        <f>IF($I138="Y",(wCCH1+wCCH2*$AJ138)*($AE138*$AF138)+(1-$AC138)*MIN(wCCH3*$AI138,maxCCH) + $AC138*MIN(wCCH4*$AI138,maxCCH),0)</f>
        <v>53.27</v>
      </c>
      <c r="Q138" s="12">
        <f>IF($J138="Y",(wTCH1+wTCH2*IF($K138="Y",1,0))*$AG138*$AH138+(1-$AC138)*MIN(wTCH3*$AI138,maxTCH) + $AC138*MIN(wTCH4*$AI138,maxTCH),0)</f>
        <v>0</v>
      </c>
      <c r="R138" s="10">
        <f>(wOLH1+wOLH2*IF($K138="Y",1,0)+wOLH3*$AD138)*$T138 + wRLH*$U138</f>
        <v>100</v>
      </c>
      <c r="S138" s="10">
        <f>wOTH*$V138 + wRTH*$W138</f>
        <v>0</v>
      </c>
      <c r="T138" s="10">
        <f>IF($L138&gt;0,$M138*$AF138,0)</f>
        <v>20</v>
      </c>
      <c r="U138" s="10">
        <f>IF($L138&gt;1,($L138-1)*$M138*$AF138,0)</f>
        <v>0</v>
      </c>
      <c r="V138" s="10">
        <f>IF($N138&gt;0,$O138*$AH138,0)</f>
        <v>0</v>
      </c>
      <c r="W138" s="10">
        <f>IF($N138&gt;1,($N138-1)*$O138*$AH138,0)</f>
        <v>0</v>
      </c>
      <c r="X138" s="12">
        <f>(wAPH1+wAPH2*IF($K138="Y",1,0)+wAPH3*$AJ138)*IF($AE138&gt;0,$M138/$AE138,0)</f>
        <v>53.846153846153847</v>
      </c>
      <c r="Y138" s="33">
        <f>wCMH*MIN($AI138,maxCMH)*IF($AE138&gt;0,$M138/$AE138,1)</f>
        <v>11.538461538461538</v>
      </c>
      <c r="Z138" s="12">
        <f>wCACH1*($T138+$V138) +((1-$AC138)*MIN(wCACH2*$AI138,maxCACH) + $AC138*MIN(wCACH3*$AI138,maxCACH))*IF($AE138&gt;0,$M138/$AE138,1)</f>
        <v>40.976923076923079</v>
      </c>
      <c r="AA138" s="12">
        <f>SUM($P138:$Z138)</f>
        <v>279.63153846153847</v>
      </c>
      <c r="AB138" s="10">
        <f>ROUND(AA138/172.5,1)</f>
        <v>1.6</v>
      </c>
      <c r="AC138" s="14">
        <f>IF(VLOOKUP($A138,Courses!$A$2:$P$268,7,FALSE)="Y",1,0)</f>
        <v>0</v>
      </c>
      <c r="AD138" s="14">
        <f>VLOOKUP($A138,Courses!$A$2:$P$268,8,FALSE)</f>
        <v>0</v>
      </c>
      <c r="AE138" s="14">
        <f>VLOOKUP($A138,Courses!$A$2:$P$268,9,FALSE)</f>
        <v>13</v>
      </c>
      <c r="AF138" s="14">
        <f>VLOOKUP($A138,Courses!$A$2:$P$268,10,FALSE)</f>
        <v>2</v>
      </c>
      <c r="AG138" s="14">
        <f>VLOOKUP($A138,Courses!$A$2:$P$268,11,FALSE)</f>
        <v>0</v>
      </c>
      <c r="AH138" s="15">
        <f>VLOOKUP($A138,Courses!$A$2:$P$268,12,FALSE)</f>
        <v>0</v>
      </c>
      <c r="AI138" s="15">
        <f>VLOOKUP($A138,Courses!$A$2:$P$268,13,FALSE)</f>
        <v>202</v>
      </c>
      <c r="AJ138" s="15">
        <f>VLOOKUP($A138,Courses!$A$2:$P$268,14,FALSE)</f>
        <v>0</v>
      </c>
      <c r="AK138" s="15">
        <f>VLOOKUP($A138,Courses!$A$2:$P$268,15,FALSE)</f>
        <v>0</v>
      </c>
      <c r="AL138" s="15">
        <f>VLOOKUP($A138,Courses!$A$2:$P$268,16,FALSE)</f>
        <v>0</v>
      </c>
    </row>
    <row r="139" spans="1:38">
      <c r="A139" s="13" t="str">
        <f>CONCATENATE(D139,H139)</f>
        <v>ECON7950S2</v>
      </c>
      <c r="B139" s="57" t="s">
        <v>807</v>
      </c>
      <c r="D139" s="80" t="s">
        <v>146</v>
      </c>
      <c r="E139" s="13" t="str">
        <f>IF(VLOOKUP($A139,Courses!$A$2:$F$268,3,FALSE)=0,"",VLOOKUP($A139,Courses!$A$2:$F$268,3,FALSE))</f>
        <v/>
      </c>
      <c r="F139" s="13" t="str">
        <f>IF(VLOOKUP($A139,Courses!$A$2:$F$268,4,FALSE)=0,"",VLOOKUP($A139,Courses!$A$2:$F$268,4,FALSE))</f>
        <v/>
      </c>
      <c r="G139" s="13" t="str">
        <f>VLOOKUP($A139,Courses!$A$2:$F$268,5,FALSE)</f>
        <v>Research Methods in Economics</v>
      </c>
      <c r="H139" s="70" t="s">
        <v>254</v>
      </c>
      <c r="I139" s="21" t="s">
        <v>252</v>
      </c>
      <c r="L139" s="70">
        <v>1</v>
      </c>
      <c r="M139" s="71">
        <v>10</v>
      </c>
      <c r="N139" s="21"/>
      <c r="P139" s="12">
        <f>IF($I139="Y",(wCCH1+wCCH2*$AJ139)*($AE139*$AF139)+(1-$AC139)*MIN(wCCH3*$AI139,maxCCH) + $AC139*MIN(wCCH4*$AI139,maxCCH),0)</f>
        <v>58.940000000000005</v>
      </c>
      <c r="Q139" s="12">
        <f>IF($J139="Y",(wTCH1+wTCH2*IF($K139="Y",1,0))*$AG139*$AH139+(1-$AC139)*MIN(wTCH3*$AI139,maxTCH) + $AC139*MIN(wTCH4*$AI139,maxTCH),0)</f>
        <v>0</v>
      </c>
      <c r="R139" s="10">
        <f>(wOLH1+wOLH2*IF($K139="Y",1,0)+wOLH3*$AD139)*$T139 + wRLH*$U139</f>
        <v>60</v>
      </c>
      <c r="S139" s="10">
        <f>wOTH*$V139 + wRTH*$W139</f>
        <v>0</v>
      </c>
      <c r="T139" s="10">
        <f>IF($L139&gt;0,$M139*$AF139,0)</f>
        <v>20</v>
      </c>
      <c r="U139" s="10">
        <f>IF($L139&gt;1,($L139-1)*$M139*$AF139,0)</f>
        <v>0</v>
      </c>
      <c r="V139" s="10">
        <f>IF($N139&gt;0,$O139*$AH139,0)</f>
        <v>0</v>
      </c>
      <c r="W139" s="10">
        <f>IF($N139&gt;1,($N139-1)*$O139*$AH139,0)</f>
        <v>0</v>
      </c>
      <c r="X139" s="12">
        <f>(wAPH1+wAPH2*IF($K139="Y",1,0)+wAPH3*$AJ139)*IF($AE139&gt;0,$M139/$AE139,0)</f>
        <v>38.461538461538467</v>
      </c>
      <c r="Y139" s="33">
        <f>wCMH*MIN($AI139,maxCMH)*IF($AE139&gt;0,$M139/$AE139,1)</f>
        <v>11.538461538461538</v>
      </c>
      <c r="Z139" s="12">
        <f>wCACH1*($T139+$V139) +((1-$AC139)*MIN(wCACH2*$AI139,maxCACH) + $AC139*MIN(wCACH3*$AI139,maxCACH))*IF($AE139&gt;0,$M139/$AE139,1)</f>
        <v>45.338461538461544</v>
      </c>
      <c r="AA139" s="12">
        <f>SUM($P139:$Z139)</f>
        <v>234.27846153846156</v>
      </c>
      <c r="AB139" s="10">
        <f>ROUND(AA139/172.5,1)</f>
        <v>1.4</v>
      </c>
      <c r="AC139" s="14">
        <f>IF(VLOOKUP($A139,Courses!$A$2:$P$268,7,FALSE)="Y",1,0)</f>
        <v>0</v>
      </c>
      <c r="AD139" s="14">
        <f>VLOOKUP($A139,Courses!$A$2:$P$268,8,FALSE)</f>
        <v>0</v>
      </c>
      <c r="AE139" s="14">
        <f>VLOOKUP($A139,Courses!$A$2:$P$268,9,FALSE)</f>
        <v>13</v>
      </c>
      <c r="AF139" s="14">
        <f>VLOOKUP($A139,Courses!$A$2:$P$268,10,FALSE)</f>
        <v>2</v>
      </c>
      <c r="AG139" s="14">
        <f>VLOOKUP($A139,Courses!$A$2:$P$268,11,FALSE)</f>
        <v>0</v>
      </c>
      <c r="AH139" s="15">
        <f>VLOOKUP($A139,Courses!$A$2:$P$268,12,FALSE)</f>
        <v>0</v>
      </c>
      <c r="AI139" s="15">
        <f>VLOOKUP($A139,Courses!$A$2:$P$268,13,FALSE)</f>
        <v>244</v>
      </c>
      <c r="AJ139" s="15">
        <f>VLOOKUP($A139,Courses!$A$2:$P$268,14,FALSE)</f>
        <v>0</v>
      </c>
      <c r="AK139" s="15">
        <f>VLOOKUP($A139,Courses!$A$2:$P$268,15,FALSE)</f>
        <v>0</v>
      </c>
      <c r="AL139" s="15">
        <f>VLOOKUP($A139,Courses!$A$2:$P$268,16,FALSE)</f>
        <v>0</v>
      </c>
    </row>
    <row r="140" spans="1:38">
      <c r="A140" s="13" t="str">
        <f>CONCATENATE(D140,H140)</f>
        <v>ECON8000S1</v>
      </c>
      <c r="B140" s="57" t="s">
        <v>805</v>
      </c>
      <c r="D140" s="80" t="s">
        <v>152</v>
      </c>
      <c r="E140" s="13" t="str">
        <f>IF(VLOOKUP($A140,Courses!$A$2:$F$268,3,FALSE)=0,"",VLOOKUP($A140,Courses!$A$2:$F$268,3,FALSE))</f>
        <v/>
      </c>
      <c r="F140" s="13" t="str">
        <f>IF(VLOOKUP($A140,Courses!$A$2:$F$268,4,FALSE)=0,"",VLOOKUP($A140,Courses!$A$2:$F$268,4,FALSE))</f>
        <v/>
      </c>
      <c r="G140" s="13" t="str">
        <f>VLOOKUP($A140,Courses!$A$2:$F$268,5,FALSE)</f>
        <v>Quantitative Skills for Economics</v>
      </c>
      <c r="H140" s="70" t="s">
        <v>253</v>
      </c>
      <c r="I140" s="21" t="s">
        <v>252</v>
      </c>
      <c r="J140" s="157" t="s">
        <v>252</v>
      </c>
      <c r="K140" s="70" t="s">
        <v>252</v>
      </c>
      <c r="L140" s="120">
        <v>1</v>
      </c>
      <c r="M140" s="71">
        <v>6</v>
      </c>
      <c r="N140" s="21">
        <v>1</v>
      </c>
      <c r="O140" s="21">
        <v>6</v>
      </c>
      <c r="P140" s="12">
        <f>IF($I140="Y",(wCCH1+wCCH2*$AJ140)*($AE140*$AF140)+(1-$AC140)*MIN(wCCH3*$AI140,maxCCH) + $AC140*MIN(wCCH4*$AI140,maxCCH),0)</f>
        <v>18.945</v>
      </c>
      <c r="Q140" s="12">
        <f>IF($J140="Y",(wTCH1+wTCH2*IF($K140="Y",1,0))*$AG140*$AH140+(1-$AC140)*MIN(wTCH3*$AI140,maxTCH) + $AC140*MIN(wTCH4*$AI140,maxTCH),0)</f>
        <v>18.4375</v>
      </c>
      <c r="R140" s="10">
        <f>(wOLH1+wOLH2*IF($K140="Y",1,0)+wOLH3*$AD140)*$T140 + wRLH*$U140</f>
        <v>90</v>
      </c>
      <c r="S140" s="10">
        <f>wOTH*$V140 + wRTH*$W140</f>
        <v>9</v>
      </c>
      <c r="T140" s="10">
        <f>IF($L140&gt;0,$M140*$AF140,0)</f>
        <v>18</v>
      </c>
      <c r="U140" s="10">
        <f>IF($L140&gt;1,($L140-1)*$M140*$AF140,0)</f>
        <v>0</v>
      </c>
      <c r="V140" s="10">
        <f>IF($N140&gt;0,$O140*$AH140,0)</f>
        <v>9</v>
      </c>
      <c r="W140" s="10">
        <f>IF($N140&gt;1,($N140-1)*$O140*$AH140,0)</f>
        <v>0</v>
      </c>
      <c r="X140" s="12">
        <f>(wAPH1+wAPH2*IF($K140="Y",1,0)+wAPH3*$AJ140)*IF($AE140&gt;0,$M140/$AE140,0)</f>
        <v>70</v>
      </c>
      <c r="Y140" s="33">
        <f>wCMH*MIN($AI140,maxCMH)*IF($AE140&gt;0,$M140/$AE140,1)</f>
        <v>7</v>
      </c>
      <c r="Z140" s="12">
        <f>wCACH1*($T140+$V140) +((1-$AC140)*MIN(wCACH2*$AI140,maxCACH) + $AC140*MIN(wCACH3*$AI140,maxCACH))*IF($AE140&gt;0,$M140/$AE140,1)</f>
        <v>27.945</v>
      </c>
      <c r="AA140" s="12">
        <f>SUM($P140:$Z140)</f>
        <v>268.32749999999999</v>
      </c>
      <c r="AB140" s="10">
        <f>ROUND(AA140/172.5,1)</f>
        <v>1.6</v>
      </c>
      <c r="AC140" s="14">
        <f>IF(VLOOKUP($A140,Courses!$A$2:$P$268,7,FALSE)="Y",1,0)</f>
        <v>0</v>
      </c>
      <c r="AD140" s="14">
        <f>VLOOKUP($A140,Courses!$A$2:$P$268,8,FALSE)</f>
        <v>0</v>
      </c>
      <c r="AE140" s="14">
        <f>VLOOKUP($A140,Courses!$A$2:$P$268,9,FALSE)</f>
        <v>6</v>
      </c>
      <c r="AF140" s="14">
        <f>VLOOKUP($A140,Courses!$A$2:$P$268,10,FALSE)</f>
        <v>3</v>
      </c>
      <c r="AG140" s="14">
        <f>VLOOKUP($A140,Courses!$A$2:$P$268,11,FALSE)</f>
        <v>6</v>
      </c>
      <c r="AH140" s="15">
        <f>VLOOKUP($A140,Courses!$A$2:$P$268,12,FALSE)</f>
        <v>1.5</v>
      </c>
      <c r="AI140" s="15">
        <f>VLOOKUP($A140,Courses!$A$2:$P$268,13,FALSE)</f>
        <v>7</v>
      </c>
      <c r="AJ140" s="15">
        <f>VLOOKUP($A140,Courses!$A$2:$P$268,14,FALSE)</f>
        <v>0</v>
      </c>
      <c r="AK140" s="15">
        <f>VLOOKUP($A140,Courses!$A$2:$P$268,15,FALSE)</f>
        <v>0</v>
      </c>
      <c r="AL140" s="15">
        <f>VLOOKUP($A140,Courses!$A$2:$P$268,16,FALSE)</f>
        <v>1</v>
      </c>
    </row>
    <row r="141" spans="1:38">
      <c r="A141" s="13" t="str">
        <f>CONCATENATE(D141,H141)</f>
        <v>ECON8800S1</v>
      </c>
      <c r="B141" s="69" t="s">
        <v>135</v>
      </c>
      <c r="C141" s="71">
        <v>2020</v>
      </c>
      <c r="D141" s="80" t="s">
        <v>164</v>
      </c>
      <c r="E141" s="13" t="str">
        <f>IF(VLOOKUP($A141,Courses!$A$2:$F$268,3,FALSE)=0,"",VLOOKUP($A141,Courses!$A$2:$F$268,3,FALSE))</f>
        <v/>
      </c>
      <c r="F141" s="13" t="str">
        <f>IF(VLOOKUP($A141,Courses!$A$2:$F$268,4,FALSE)=0,"",VLOOKUP($A141,Courses!$A$2:$F$268,4,FALSE))</f>
        <v/>
      </c>
      <c r="G141" s="13" t="str">
        <f>VLOOKUP($A141,Courses!$A$2:$F$268,5,FALSE)</f>
        <v>Advanced Studies in Economics 1</v>
      </c>
      <c r="H141" s="70" t="s">
        <v>253</v>
      </c>
      <c r="I141" s="21" t="s">
        <v>252</v>
      </c>
      <c r="L141" s="120">
        <v>1</v>
      </c>
      <c r="M141" s="71">
        <v>13</v>
      </c>
      <c r="N141" s="21"/>
      <c r="O141" s="21"/>
      <c r="P141" s="12">
        <f>IF($I141="Y",(wCCH1+wCCH2*$AJ141)*($AE141*$AF141)+(1-$AC141)*MIN(wCCH3*$AI141,maxCCH) + $AC141*MIN(wCCH4*$AI141,maxCCH),0)</f>
        <v>39.81</v>
      </c>
      <c r="Q141" s="12">
        <f>IF($J141="Y",(wTCH1+wTCH2*IF($K141="Y",1,0))*$AG141*$AH141+(1-$AC141)*MIN(wTCH3*$AI141,maxTCH) + $AC141*MIN(wTCH4*$AI141,maxTCH),0)</f>
        <v>0</v>
      </c>
      <c r="R141" s="10">
        <f>(wOLH1+wOLH2*IF($K141="Y",1,0)+wOLH3*$AD141)*$T141 + wRLH*$U141</f>
        <v>117</v>
      </c>
      <c r="S141" s="10">
        <f>wOTH*$V141 + wRTH*$W141</f>
        <v>0</v>
      </c>
      <c r="T141" s="10">
        <f>IF($L141&gt;0,$M141*$AF141,0)</f>
        <v>39</v>
      </c>
      <c r="U141" s="10">
        <f>IF($L141&gt;1,($L141-1)*$M141*$AF141,0)</f>
        <v>0</v>
      </c>
      <c r="V141" s="10">
        <f>IF($N141&gt;0,$O141*$AH141,0)</f>
        <v>0</v>
      </c>
      <c r="W141" s="10">
        <f>IF($N141&gt;1,($N141-1)*$O141*$AH141,0)</f>
        <v>0</v>
      </c>
      <c r="X141" s="12">
        <f>(wAPH1+wAPH2*IF($K141="Y",1,0)+wAPH3*$AJ141)*IF($AE141&gt;0,$M141/$AE141,0)</f>
        <v>50</v>
      </c>
      <c r="Y141" s="33">
        <f>wCMH*MIN($AI141,maxCMH)*IF($AE141&gt;0,$M141/$AE141,1)</f>
        <v>6</v>
      </c>
      <c r="Z141" s="12">
        <f>wCACH1*($T141+$V141) +((1-$AC141)*MIN(wCACH2*$AI141,maxCACH) + $AC141*MIN(wCACH3*$AI141,maxCACH))*IF($AE141&gt;0,$M141/$AE141,1)</f>
        <v>39.81</v>
      </c>
      <c r="AA141" s="12">
        <f>SUM($P141:$Z141)</f>
        <v>291.62</v>
      </c>
      <c r="AB141" s="10">
        <f>ROUND(AA141/172.5,1)</f>
        <v>1.7</v>
      </c>
      <c r="AC141" s="14">
        <f>IF(VLOOKUP($A141,Courses!$A$2:$P$268,7,FALSE)="Y",1,0)</f>
        <v>0</v>
      </c>
      <c r="AD141" s="14">
        <f>VLOOKUP($A141,Courses!$A$2:$P$268,8,FALSE)</f>
        <v>0</v>
      </c>
      <c r="AE141" s="14">
        <f>VLOOKUP($A141,Courses!$A$2:$P$268,9,FALSE)</f>
        <v>13</v>
      </c>
      <c r="AF141" s="14">
        <f>VLOOKUP($A141,Courses!$A$2:$P$268,10,FALSE)</f>
        <v>3</v>
      </c>
      <c r="AG141" s="14">
        <f>VLOOKUP($A141,Courses!$A$2:$P$268,11,FALSE)</f>
        <v>0</v>
      </c>
      <c r="AH141" s="15">
        <f>VLOOKUP($A141,Courses!$A$2:$P$268,12,FALSE)</f>
        <v>0</v>
      </c>
      <c r="AI141" s="15">
        <f>VLOOKUP($A141,Courses!$A$2:$P$268,13,FALSE)</f>
        <v>6</v>
      </c>
      <c r="AJ141" s="15">
        <f>VLOOKUP($A141,Courses!$A$2:$P$268,14,FALSE)</f>
        <v>0</v>
      </c>
      <c r="AK141" s="15">
        <f>VLOOKUP($A141,Courses!$A$2:$P$268,15,FALSE)</f>
        <v>0</v>
      </c>
      <c r="AL141" s="15">
        <f>VLOOKUP($A141,Courses!$A$2:$P$268,16,FALSE)</f>
        <v>0</v>
      </c>
    </row>
    <row r="142" spans="1:38">
      <c r="A142" s="13" t="str">
        <f>CONCATENATE(D142,H142)</f>
        <v>ECON8810S1</v>
      </c>
      <c r="B142" s="69" t="s">
        <v>11</v>
      </c>
      <c r="C142" s="70">
        <v>2020</v>
      </c>
      <c r="D142" s="80" t="s">
        <v>148</v>
      </c>
      <c r="E142" s="13" t="str">
        <f>IF(VLOOKUP($A142,Courses!$A$2:$F$268,3,FALSE)=0,"",VLOOKUP($A142,Courses!$A$2:$F$268,3,FALSE))</f>
        <v/>
      </c>
      <c r="F142" s="13" t="str">
        <f>IF(VLOOKUP($A142,Courses!$A$2:$F$268,4,FALSE)=0,"",VLOOKUP($A142,Courses!$A$2:$F$268,4,FALSE))</f>
        <v/>
      </c>
      <c r="G142" s="13" t="str">
        <f>VLOOKUP($A142,Courses!$A$2:$F$268,5,FALSE)</f>
        <v>Advanced Studies in Economics 2</v>
      </c>
      <c r="H142" s="70" t="s">
        <v>253</v>
      </c>
      <c r="I142" s="70" t="s">
        <v>252</v>
      </c>
      <c r="J142" s="70" t="s">
        <v>252</v>
      </c>
      <c r="L142" s="120">
        <v>1</v>
      </c>
      <c r="M142" s="71">
        <v>10</v>
      </c>
      <c r="N142" s="21"/>
      <c r="O142" s="21"/>
      <c r="P142" s="12">
        <f>IF($I142="Y",(wCCH1+wCCH2*$AJ142)*($AE142*$AF142)+(1-$AC142)*MIN(wCCH3*$AI142,maxCCH) + $AC142*MIN(wCCH4*$AI142,maxCCH),0)</f>
        <v>26.81</v>
      </c>
      <c r="Q142" s="12">
        <f>IF($J142="Y",(wTCH1+wTCH2*IF($K142="Y",1,0))*$AG142*$AH142+(1-$AC142)*MIN(wTCH3*$AI142,maxTCH) + $AC142*MIN(wTCH4*$AI142,maxTCH),0)</f>
        <v>13.375</v>
      </c>
      <c r="R142" s="10">
        <f>(wOLH1+wOLH2*IF($K142="Y",1,0)+wOLH3*$AD142)*$T142 + wRLH*$U142</f>
        <v>60</v>
      </c>
      <c r="S142" s="10">
        <f>wOTH*$V142 + wRTH*$W142</f>
        <v>0</v>
      </c>
      <c r="T142" s="10">
        <f>IF($L142&gt;0,$M142*$AF142,0)</f>
        <v>20</v>
      </c>
      <c r="U142" s="10">
        <f>IF($L142&gt;1,($L142-1)*$M142*$AF142,0)</f>
        <v>0</v>
      </c>
      <c r="V142" s="10">
        <f>IF($N142&gt;0,$O142*$AH142,0)</f>
        <v>0</v>
      </c>
      <c r="W142" s="10">
        <f>IF($N142&gt;1,($N142-1)*$O142*$AH142,0)</f>
        <v>0</v>
      </c>
      <c r="X142" s="12">
        <f>(wAPH1+wAPH2*IF($K142="Y",1,0)+wAPH3*$AJ142)*IF($AE142&gt;0,$M142/$AE142,0)</f>
        <v>38.461538461538467</v>
      </c>
      <c r="Y142" s="33">
        <f>wCMH*MIN($AI142,maxCMH)*IF($AE142&gt;0,$M142/$AE142,1)</f>
        <v>4.6153846153846159</v>
      </c>
      <c r="Z142" s="12">
        <f>wCACH1*($T142+$V142) +((1-$AC142)*MIN(wCACH2*$AI142,maxCACH) + $AC142*MIN(wCACH3*$AI142,maxCACH))*IF($AE142&gt;0,$M142/$AE142,1)</f>
        <v>20.623076923076923</v>
      </c>
      <c r="AA142" s="12">
        <f>SUM($P142:$Z142)</f>
        <v>183.88499999999999</v>
      </c>
      <c r="AB142" s="10">
        <f>ROUND(AA142/172.5,1)</f>
        <v>1.1000000000000001</v>
      </c>
      <c r="AC142" s="14">
        <f>IF(VLOOKUP($A142,Courses!$A$2:$P$268,7,FALSE)="Y",1,0)</f>
        <v>0</v>
      </c>
      <c r="AD142" s="14">
        <f>VLOOKUP($A142,Courses!$A$2:$P$268,8,FALSE)</f>
        <v>0</v>
      </c>
      <c r="AE142" s="14">
        <f>VLOOKUP($A142,Courses!$A$2:$P$268,9,FALSE)</f>
        <v>13</v>
      </c>
      <c r="AF142" s="14">
        <f>VLOOKUP($A142,Courses!$A$2:$P$268,10,FALSE)</f>
        <v>2</v>
      </c>
      <c r="AG142" s="14">
        <f>VLOOKUP($A142,Courses!$A$2:$P$268,11,FALSE)</f>
        <v>13</v>
      </c>
      <c r="AH142" s="15">
        <f>VLOOKUP($A142,Courses!$A$2:$P$268,12,FALSE)</f>
        <v>1</v>
      </c>
      <c r="AI142" s="15">
        <f>VLOOKUP($A142,Courses!$A$2:$P$268,13,FALSE)</f>
        <v>6</v>
      </c>
      <c r="AJ142" s="15">
        <f>VLOOKUP($A142,Courses!$A$2:$P$268,14,FALSE)</f>
        <v>0</v>
      </c>
      <c r="AK142" s="15">
        <f>VLOOKUP($A142,Courses!$A$2:$P$268,15,FALSE)</f>
        <v>0</v>
      </c>
      <c r="AL142" s="15">
        <f>VLOOKUP($A142,Courses!$A$2:$P$268,16,FALSE)</f>
        <v>1</v>
      </c>
    </row>
    <row r="143" spans="1:38">
      <c r="A143" s="13" t="str">
        <f>CONCATENATE(D143,H143)</f>
        <v>ECON8810S1</v>
      </c>
      <c r="B143" s="69" t="s">
        <v>294</v>
      </c>
      <c r="D143" s="80" t="s">
        <v>148</v>
      </c>
      <c r="E143" s="13" t="str">
        <f>IF(VLOOKUP($A143,Courses!$A$2:$F$268,3,FALSE)=0,"",VLOOKUP($A143,Courses!$A$2:$F$268,3,FALSE))</f>
        <v/>
      </c>
      <c r="F143" s="13" t="str">
        <f>IF(VLOOKUP($A143,Courses!$A$2:$F$268,4,FALSE)=0,"",VLOOKUP($A143,Courses!$A$2:$F$268,4,FALSE))</f>
        <v/>
      </c>
      <c r="G143" s="13" t="str">
        <f>VLOOKUP($A143,Courses!$A$2:$F$268,5,FALSE)</f>
        <v>Advanced Studies in Economics 2</v>
      </c>
      <c r="H143" s="70" t="s">
        <v>253</v>
      </c>
      <c r="I143" s="21"/>
      <c r="K143" s="70" t="s">
        <v>252</v>
      </c>
      <c r="L143" s="120">
        <v>1</v>
      </c>
      <c r="M143" s="71">
        <v>3</v>
      </c>
      <c r="N143" s="21"/>
      <c r="O143" s="21"/>
      <c r="P143" s="12">
        <f>IF($I143="Y",(wCCH1+wCCH2*$AJ143)*($AE143*$AF143)+(1-$AC143)*MIN(wCCH3*$AI143,maxCCH) + $AC143*MIN(wCCH4*$AI143,maxCCH),0)</f>
        <v>0</v>
      </c>
      <c r="Q143" s="12">
        <f>IF($J143="Y",(wTCH1+wTCH2*IF($K143="Y",1,0))*$AG143*$AH143+(1-$AC143)*MIN(wTCH3*$AI143,maxTCH) + $AC143*MIN(wTCH4*$AI143,maxTCH),0)</f>
        <v>0</v>
      </c>
      <c r="R143" s="10">
        <f>(wOLH1+wOLH2*IF($K143="Y",1,0)+wOLH3*$AD143)*$T143 + wRLH*$U143</f>
        <v>30</v>
      </c>
      <c r="S143" s="10">
        <f>wOTH*$V143 + wRTH*$W143</f>
        <v>0</v>
      </c>
      <c r="T143" s="10">
        <f>IF($L143&gt;0,$M143*$AF143,0)</f>
        <v>6</v>
      </c>
      <c r="U143" s="10">
        <f>IF($L143&gt;1,($L143-1)*$M143*$AF143,0)</f>
        <v>0</v>
      </c>
      <c r="V143" s="10">
        <f>IF($N143&gt;0,$O143*$AH143,0)</f>
        <v>0</v>
      </c>
      <c r="W143" s="10">
        <f>IF($N143&gt;1,($N143-1)*$O143*$AH143,0)</f>
        <v>0</v>
      </c>
      <c r="X143" s="12">
        <f>(wAPH1+wAPH2*IF($K143="Y",1,0)+wAPH3*$AJ143)*IF($AE143&gt;0,$M143/$AE143,0)</f>
        <v>16.153846153846153</v>
      </c>
      <c r="Y143" s="33">
        <f>wCMH*MIN($AI143,maxCMH)*IF($AE143&gt;0,$M143/$AE143,1)</f>
        <v>1.3846153846153846</v>
      </c>
      <c r="Z143" s="12">
        <f>wCACH1*($T143+$V143) +((1-$AC143)*MIN(wCACH2*$AI143,maxCACH) + $AC143*MIN(wCACH3*$AI143,maxCACH))*IF($AE143&gt;0,$M143/$AE143,1)</f>
        <v>6.186923076923077</v>
      </c>
      <c r="AA143" s="12">
        <f>SUM($P143:$Z143)</f>
        <v>59.72538461538462</v>
      </c>
      <c r="AB143" s="10">
        <f>ROUND(AA143/172.5,1)</f>
        <v>0.3</v>
      </c>
      <c r="AC143" s="14">
        <f>IF(VLOOKUP($A143,Courses!$A$2:$P$268,7,FALSE)="Y",1,0)</f>
        <v>0</v>
      </c>
      <c r="AD143" s="14">
        <f>VLOOKUP($A143,Courses!$A$2:$P$268,8,FALSE)</f>
        <v>0</v>
      </c>
      <c r="AE143" s="14">
        <f>VLOOKUP($A143,Courses!$A$2:$P$268,9,FALSE)</f>
        <v>13</v>
      </c>
      <c r="AF143" s="14">
        <f>VLOOKUP($A143,Courses!$A$2:$P$268,10,FALSE)</f>
        <v>2</v>
      </c>
      <c r="AG143" s="14">
        <f>VLOOKUP($A143,Courses!$A$2:$P$268,11,FALSE)</f>
        <v>13</v>
      </c>
      <c r="AH143" s="15">
        <f>VLOOKUP($A143,Courses!$A$2:$P$268,12,FALSE)</f>
        <v>1</v>
      </c>
      <c r="AI143" s="15">
        <f>VLOOKUP($A143,Courses!$A$2:$P$268,13,FALSE)</f>
        <v>6</v>
      </c>
      <c r="AJ143" s="15">
        <f>VLOOKUP($A143,Courses!$A$2:$P$268,14,FALSE)</f>
        <v>0</v>
      </c>
      <c r="AK143" s="15">
        <f>VLOOKUP($A143,Courses!$A$2:$P$268,15,FALSE)</f>
        <v>0</v>
      </c>
      <c r="AL143" s="15">
        <f>VLOOKUP($A143,Courses!$A$2:$P$268,16,FALSE)</f>
        <v>1</v>
      </c>
    </row>
    <row r="144" spans="1:38">
      <c r="A144" s="13" t="str">
        <f>CONCATENATE(D144,H144)</f>
        <v>ECON8820S1</v>
      </c>
      <c r="B144" s="69" t="s">
        <v>295</v>
      </c>
      <c r="C144" s="83">
        <v>2020</v>
      </c>
      <c r="D144" s="80" t="s">
        <v>156</v>
      </c>
      <c r="E144" s="13" t="str">
        <f>IF(VLOOKUP($A144,Courses!$A$2:$F$268,3,FALSE)=0,"",VLOOKUP($A144,Courses!$A$2:$F$268,3,FALSE))</f>
        <v/>
      </c>
      <c r="F144" s="13" t="str">
        <f>IF(VLOOKUP($A144,Courses!$A$2:$F$268,4,FALSE)=0,"",VLOOKUP($A144,Courses!$A$2:$F$268,4,FALSE))</f>
        <v/>
      </c>
      <c r="G144" s="13" t="str">
        <f>VLOOKUP($A144,Courses!$A$2:$F$268,5,FALSE)</f>
        <v>Advanced Studies in Econometrics</v>
      </c>
      <c r="H144" s="70" t="s">
        <v>253</v>
      </c>
      <c r="I144" s="21" t="s">
        <v>252</v>
      </c>
      <c r="J144" s="70" t="s">
        <v>252</v>
      </c>
      <c r="L144" s="120">
        <v>1</v>
      </c>
      <c r="M144" s="71">
        <v>13</v>
      </c>
      <c r="N144" s="21">
        <v>1</v>
      </c>
      <c r="O144" s="21">
        <v>13</v>
      </c>
      <c r="P144" s="12">
        <f>IF($I144="Y",(wCCH1+wCCH2*$AJ144)*($AE144*$AF144)+(1-$AC144)*MIN(wCCH3*$AI144,maxCCH) + $AC144*MIN(wCCH4*$AI144,maxCCH),0)</f>
        <v>26.81</v>
      </c>
      <c r="Q144" s="12">
        <f>IF($J144="Y",(wTCH1+wTCH2*IF($K144="Y",1,0))*$AG144*$AH144+(1-$AC144)*MIN(wTCH3*$AI144,maxTCH) + $AC144*MIN(wTCH4*$AI144,maxTCH),0)</f>
        <v>13.375</v>
      </c>
      <c r="R144" s="10">
        <f>(wOLH1+wOLH2*IF($K144="Y",1,0)+wOLH3*$AD144)*$T144 + wRLH*$U144</f>
        <v>78</v>
      </c>
      <c r="S144" s="10">
        <f>wOTH*$V144 + wRTH*$W144</f>
        <v>13</v>
      </c>
      <c r="T144" s="10">
        <f>IF($L144&gt;0,$M144*$AF144,0)</f>
        <v>26</v>
      </c>
      <c r="U144" s="10">
        <f>IF($L144&gt;1,($L144-1)*$M144*$AF144,0)</f>
        <v>0</v>
      </c>
      <c r="V144" s="10">
        <f>IF($N144&gt;0,$O144*$AH144,0)</f>
        <v>13</v>
      </c>
      <c r="W144" s="10">
        <f>IF($N144&gt;1,($N144-1)*$O144*$AH144,0)</f>
        <v>0</v>
      </c>
      <c r="X144" s="12">
        <f>(wAPH1+wAPH2*IF($K144="Y",1,0)+wAPH3*$AJ144)*IF($AE144&gt;0,$M144/$AE144,0)</f>
        <v>50</v>
      </c>
      <c r="Y144" s="33">
        <f>wCMH*MIN($AI144,maxCMH)*IF($AE144&gt;0,$M144/$AE144,1)</f>
        <v>6</v>
      </c>
      <c r="Z144" s="12">
        <f>wCACH1*($T144+$V144) +((1-$AC144)*MIN(wCACH2*$AI144,maxCACH) + $AC144*MIN(wCACH3*$AI144,maxCACH))*IF($AE144&gt;0,$M144/$AE144,1)</f>
        <v>39.81</v>
      </c>
      <c r="AA144" s="12">
        <f>SUM($P144:$Z144)</f>
        <v>265.995</v>
      </c>
      <c r="AB144" s="10">
        <f>ROUND(AA144/172.5,1)</f>
        <v>1.5</v>
      </c>
      <c r="AC144" s="14">
        <f>IF(VLOOKUP($A144,Courses!$A$2:$P$268,7,FALSE)="Y",1,0)</f>
        <v>0</v>
      </c>
      <c r="AD144" s="14">
        <f>VLOOKUP($A144,Courses!$A$2:$P$268,8,FALSE)</f>
        <v>0</v>
      </c>
      <c r="AE144" s="14">
        <f>VLOOKUP($A144,Courses!$A$2:$P$268,9,FALSE)</f>
        <v>13</v>
      </c>
      <c r="AF144" s="14">
        <f>VLOOKUP($A144,Courses!$A$2:$P$268,10,FALSE)</f>
        <v>2</v>
      </c>
      <c r="AG144" s="14">
        <f>VLOOKUP($A144,Courses!$A$2:$P$268,11,FALSE)</f>
        <v>13</v>
      </c>
      <c r="AH144" s="15">
        <f>VLOOKUP($A144,Courses!$A$2:$P$268,12,FALSE)</f>
        <v>1</v>
      </c>
      <c r="AI144" s="15">
        <f>VLOOKUP($A144,Courses!$A$2:$P$268,13,FALSE)</f>
        <v>6</v>
      </c>
      <c r="AJ144" s="15">
        <f>VLOOKUP($A144,Courses!$A$2:$P$268,14,FALSE)</f>
        <v>0</v>
      </c>
      <c r="AK144" s="15">
        <f>VLOOKUP($A144,Courses!$A$2:$P$268,15,FALSE)</f>
        <v>0</v>
      </c>
      <c r="AL144" s="15">
        <f>VLOOKUP($A144,Courses!$A$2:$P$268,16,FALSE)</f>
        <v>1</v>
      </c>
    </row>
    <row r="145" spans="1:38">
      <c r="A145" s="13" t="str">
        <f>CONCATENATE(D145,H145)</f>
        <v>GDUFS 1020S1</v>
      </c>
      <c r="B145" s="165" t="s">
        <v>142</v>
      </c>
      <c r="D145" s="47" t="s">
        <v>777</v>
      </c>
      <c r="E145" s="13" t="str">
        <f>IF(VLOOKUP($A145,Courses!$A$2:$F$268,3,FALSE)=0,"",VLOOKUP($A145,Courses!$A$2:$F$268,3,FALSE))</f>
        <v/>
      </c>
      <c r="F145" s="13" t="str">
        <f>IF(VLOOKUP($A145,Courses!$A$2:$F$268,4,FALSE)=0,"",VLOOKUP($A145,Courses!$A$2:$F$268,4,FALSE))</f>
        <v/>
      </c>
      <c r="G145" s="13" t="str">
        <f>VLOOKUP($A145,Courses!$A$2:$F$268,5,FALSE)</f>
        <v>GDUFS - Introductory Macroeconomics</v>
      </c>
      <c r="H145" s="70" t="s">
        <v>253</v>
      </c>
      <c r="I145" s="21"/>
      <c r="K145" s="70" t="s">
        <v>252</v>
      </c>
      <c r="L145" s="70">
        <v>1</v>
      </c>
      <c r="M145" s="71">
        <v>3</v>
      </c>
      <c r="N145" s="21"/>
      <c r="P145" s="12">
        <f>IF($I145="Y",(wCCH1+wCCH2*$AJ145)*($AE145*$AF145)+(1-$AC145)*MIN(wCCH3*$AI145,maxCCH) + $AC145*MIN(wCCH4*$AI145,maxCCH),0)</f>
        <v>0</v>
      </c>
      <c r="Q145" s="12">
        <f>IF($J145="Y",(wTCH1+wTCH2*IF($K145="Y",1,0))*$AG145*$AH145+(1-$AC145)*MIN(wTCH3*$AI145,maxTCH) + $AC145*MIN(wTCH4*$AI145,maxTCH),0)</f>
        <v>0</v>
      </c>
      <c r="R145" s="10">
        <f>(wOLH1+wOLH2*IF($K145="Y",1,0)+wOLH3*$AD145)*$T145 + wRLH*$U145</f>
        <v>15</v>
      </c>
      <c r="S145" s="10">
        <f>wOTH*$V145 + wRTH*$W145</f>
        <v>0</v>
      </c>
      <c r="T145" s="10">
        <f>IF($L145&gt;0,$M145*$AF145,0)</f>
        <v>3</v>
      </c>
      <c r="U145" s="10">
        <f>IF($L145&gt;1,($L145-1)*$M145*$AF145,0)</f>
        <v>0</v>
      </c>
      <c r="V145" s="10">
        <f>IF($N145&gt;0,$O145*$AH145,0)</f>
        <v>0</v>
      </c>
      <c r="W145" s="10">
        <f>IF($N145&gt;1,($N145-1)*$O145*$AH145,0)</f>
        <v>0</v>
      </c>
      <c r="X145" s="12">
        <f>(wAPH1+wAPH2*IF($K145="Y",1,0)+wAPH3*$AJ145)*IF($AE145&gt;0,$M145/$AE145,0)</f>
        <v>70</v>
      </c>
      <c r="Y145" s="33">
        <f>wCMH*MIN($AI145,maxCMH)*IF($AE145&gt;0,$M145/$AE145,1)</f>
        <v>10</v>
      </c>
      <c r="Z145" s="12">
        <f>wCACH1*($T145+$V145) +((1-$AC145)*MIN(wCACH2*$AI145,maxCACH) + $AC145*MIN(wCACH3*$AI145,maxCACH))*IF($AE145&gt;0,$M145/$AE145,1)</f>
        <v>4.3499999999999996</v>
      </c>
      <c r="AA145" s="12">
        <f>SUM($P145:$Z145)</f>
        <v>102.35</v>
      </c>
      <c r="AB145" s="10">
        <f>ROUND(AA145/172.5,1)</f>
        <v>0.6</v>
      </c>
      <c r="AC145" s="14">
        <f>IF(VLOOKUP($A145,Courses!$A$2:$P$268,7,FALSE)="Y",1,0)</f>
        <v>0</v>
      </c>
      <c r="AD145" s="14">
        <f>VLOOKUP($A145,Courses!$A$2:$P$268,8,FALSE)</f>
        <v>0</v>
      </c>
      <c r="AE145" s="14">
        <f>VLOOKUP($A145,Courses!$A$2:$P$268,9,FALSE)</f>
        <v>3</v>
      </c>
      <c r="AF145" s="14">
        <f>VLOOKUP($A145,Courses!$A$2:$P$268,10,FALSE)</f>
        <v>1</v>
      </c>
      <c r="AG145" s="14">
        <f>VLOOKUP($A145,Courses!$A$2:$P$268,11,FALSE)</f>
        <v>0</v>
      </c>
      <c r="AH145" s="15">
        <f>VLOOKUP($A145,Courses!$A$2:$P$268,12,FALSE)</f>
        <v>0</v>
      </c>
      <c r="AI145" s="15">
        <f>VLOOKUP($A145,Courses!$A$2:$P$268,13,FALSE)</f>
        <v>10</v>
      </c>
      <c r="AJ145" s="15">
        <f>VLOOKUP($A145,Courses!$A$2:$P$268,14,FALSE)</f>
        <v>0</v>
      </c>
      <c r="AK145" s="15">
        <f>VLOOKUP($A145,Courses!$A$2:$P$268,15,FALSE)</f>
        <v>0</v>
      </c>
      <c r="AL145" s="15">
        <f>VLOOKUP($A145,Courses!$A$2:$P$268,16,FALSE)</f>
        <v>0</v>
      </c>
    </row>
    <row r="146" spans="1:38">
      <c r="A146" s="13" t="str">
        <f>CONCATENATE(D146,H146)</f>
        <v>GDUFS 2010S3</v>
      </c>
      <c r="B146" s="69" t="s">
        <v>269</v>
      </c>
      <c r="D146" s="47" t="s">
        <v>779</v>
      </c>
      <c r="E146" s="13" t="str">
        <f>IF(VLOOKUP($A146,Courses!$A$2:$F$268,3,FALSE)=0,"",VLOOKUP($A146,Courses!$A$2:$F$268,3,FALSE))</f>
        <v/>
      </c>
      <c r="F146" s="13" t="str">
        <f>IF(VLOOKUP($A146,Courses!$A$2:$F$268,4,FALSE)=0,"",VLOOKUP($A146,Courses!$A$2:$F$268,4,FALSE))</f>
        <v/>
      </c>
      <c r="G146" s="13" t="str">
        <f>VLOOKUP($A146,Courses!$A$2:$F$268,5,FALSE)</f>
        <v xml:space="preserve">GDUFS - Intermediate Microeconomics </v>
      </c>
      <c r="H146" s="70" t="s">
        <v>255</v>
      </c>
      <c r="I146" s="21"/>
      <c r="K146" s="70" t="s">
        <v>252</v>
      </c>
      <c r="L146" s="70">
        <v>1</v>
      </c>
      <c r="M146" s="71">
        <v>3</v>
      </c>
      <c r="N146" s="21"/>
      <c r="P146" s="12">
        <f>IF($I146="Y",(wCCH1+wCCH2*$AJ146)*($AE146*$AF146)+(1-$AC146)*MIN(wCCH3*$AI146,maxCCH) + $AC146*MIN(wCCH4*$AI146,maxCCH),0)</f>
        <v>0</v>
      </c>
      <c r="Q146" s="12">
        <f>IF($J146="Y",(wTCH1+wTCH2*IF($K146="Y",1,0))*$AG146*$AH146+(1-$AC146)*MIN(wTCH3*$AI146,maxTCH) + $AC146*MIN(wTCH4*$AI146,maxTCH),0)</f>
        <v>0</v>
      </c>
      <c r="R146" s="10">
        <f>(wOLH1+wOLH2*IF($K146="Y",1,0)+wOLH3*$AD146)*$T146 + wRLH*$U146</f>
        <v>15</v>
      </c>
      <c r="S146" s="10">
        <f>wOTH*$V146 + wRTH*$W146</f>
        <v>0</v>
      </c>
      <c r="T146" s="10">
        <f>IF($L146&gt;0,$M146*$AF146,0)</f>
        <v>3</v>
      </c>
      <c r="U146" s="10">
        <f>IF($L146&gt;1,($L146-1)*$M146*$AF146,0)</f>
        <v>0</v>
      </c>
      <c r="V146" s="10">
        <f>IF($N146&gt;0,$O146*$AH146,0)</f>
        <v>0</v>
      </c>
      <c r="W146" s="10">
        <f>IF($N146&gt;1,($N146-1)*$O146*$AH146,0)</f>
        <v>0</v>
      </c>
      <c r="X146" s="12">
        <f>(wAPH1+wAPH2*IF($K146="Y",1,0)+wAPH3*$AJ146)*IF($AE146&gt;0,$M146/$AE146,0)</f>
        <v>70</v>
      </c>
      <c r="Y146" s="33">
        <f>wCMH*MIN($AI146,maxCMH)*IF($AE146&gt;0,$M146/$AE146,1)</f>
        <v>10</v>
      </c>
      <c r="Z146" s="12">
        <f>wCACH1*($T146+$V146) +((1-$AC146)*MIN(wCACH2*$AI146,maxCACH) + $AC146*MIN(wCACH3*$AI146,maxCACH))*IF($AE146&gt;0,$M146/$AE146,1)</f>
        <v>4.3499999999999996</v>
      </c>
      <c r="AA146" s="12">
        <f>SUM($P146:$Z146)</f>
        <v>102.35</v>
      </c>
      <c r="AB146" s="10">
        <f>ROUND(AA146/172.5,1)</f>
        <v>0.6</v>
      </c>
      <c r="AC146" s="14">
        <f>IF(VLOOKUP($A146,Courses!$A$2:$P$268,7,FALSE)="Y",1,0)</f>
        <v>0</v>
      </c>
      <c r="AD146" s="14">
        <f>VLOOKUP($A146,Courses!$A$2:$P$268,8,FALSE)</f>
        <v>0</v>
      </c>
      <c r="AE146" s="14">
        <f>VLOOKUP($A146,Courses!$A$2:$P$268,9,FALSE)</f>
        <v>3</v>
      </c>
      <c r="AF146" s="14">
        <f>VLOOKUP($A146,Courses!$A$2:$P$268,10,FALSE)</f>
        <v>1</v>
      </c>
      <c r="AG146" s="14">
        <f>VLOOKUP($A146,Courses!$A$2:$P$268,11,FALSE)</f>
        <v>0</v>
      </c>
      <c r="AH146" s="15">
        <f>VLOOKUP($A146,Courses!$A$2:$P$268,12,FALSE)</f>
        <v>0</v>
      </c>
      <c r="AI146" s="15">
        <f>VLOOKUP($A146,Courses!$A$2:$P$268,13,FALSE)</f>
        <v>10</v>
      </c>
      <c r="AJ146" s="15">
        <f>VLOOKUP($A146,Courses!$A$2:$P$268,14,FALSE)</f>
        <v>0</v>
      </c>
      <c r="AK146" s="15">
        <f>VLOOKUP($A146,Courses!$A$2:$P$268,15,FALSE)</f>
        <v>0</v>
      </c>
      <c r="AL146" s="15">
        <f>VLOOKUP($A146,Courses!$A$2:$P$268,16,FALSE)</f>
        <v>0</v>
      </c>
    </row>
    <row r="147" spans="1:38">
      <c r="A147" s="13" t="str">
        <f>CONCATENATE(D147,H147)</f>
        <v>PPES3101S1</v>
      </c>
      <c r="B147" s="69" t="s">
        <v>17</v>
      </c>
      <c r="C147" s="70">
        <v>2019</v>
      </c>
      <c r="D147" s="80" t="s">
        <v>229</v>
      </c>
      <c r="E147" s="13" t="str">
        <f>IF(VLOOKUP($A147,Courses!$A$2:$F$268,3,FALSE)=0,"",VLOOKUP($A147,Courses!$A$2:$F$268,3,FALSE))</f>
        <v/>
      </c>
      <c r="F147" s="13" t="str">
        <f>IF(VLOOKUP($A147,Courses!$A$2:$F$268,4,FALSE)=0,"",VLOOKUP($A147,Courses!$A$2:$F$268,4,FALSE))</f>
        <v/>
      </c>
      <c r="G147" s="13" t="str">
        <f>VLOOKUP($A147,Courses!$A$2:$F$268,5,FALSE)</f>
        <v>Politics, Philosophy, Economics 3</v>
      </c>
      <c r="H147" s="70" t="s">
        <v>253</v>
      </c>
      <c r="I147" s="21" t="s">
        <v>252</v>
      </c>
      <c r="L147" s="120">
        <v>1</v>
      </c>
      <c r="M147" s="71">
        <v>13</v>
      </c>
      <c r="N147" s="21"/>
      <c r="O147" s="21"/>
      <c r="P147" s="12">
        <f>IF($I147="Y",(wCCH1+wCCH2*$AJ147)*($AE147*$AF147)+(1-$AC147)*MIN(wCCH3*$AI147,maxCCH) + $AC147*MIN(wCCH4*$AI147,maxCCH),0)</f>
        <v>34.505000000000003</v>
      </c>
      <c r="Q147" s="12">
        <f>IF($J147="Y",(wTCH1+wTCH2*IF($K147="Y",1,0))*$AG147*$AH147+(1-$AC147)*MIN(wTCH3*$AI147,maxTCH) + $AC147*MIN(wTCH4*$AI147,maxTCH),0)</f>
        <v>0</v>
      </c>
      <c r="R147" s="10">
        <f>(wOLH1+wOLH2*IF($K147="Y",1,0)+wOLH3*$AD147)*$T147 + wRLH*$U147</f>
        <v>78</v>
      </c>
      <c r="S147" s="10">
        <f>wOTH*$V147 + wRTH*$W147</f>
        <v>0</v>
      </c>
      <c r="T147" s="10">
        <f>IF($L147&gt;0,$M147*$AF147,0)</f>
        <v>26</v>
      </c>
      <c r="U147" s="10">
        <f>IF($L147&gt;1,($L147-1)*$M147*$AF147,0)</f>
        <v>0</v>
      </c>
      <c r="V147" s="10">
        <f>IF($N147&gt;0,$O147*$AH147,0)</f>
        <v>0</v>
      </c>
      <c r="W147" s="10">
        <f>IF($N147&gt;1,($N147-1)*$O147*$AH147,0)</f>
        <v>0</v>
      </c>
      <c r="X147" s="12">
        <f>(wAPH1+wAPH2*IF($K147="Y",1,0)+wAPH3*$AJ147)*IF($AE147&gt;0,$M147/$AE147,0)</f>
        <v>50</v>
      </c>
      <c r="Y147" s="33">
        <f>wCMH*MIN($AI147,maxCMH)*IF($AE147&gt;0,$M147/$AE147,1)</f>
        <v>15</v>
      </c>
      <c r="Z147" s="12">
        <f>wCACH1*($T147+$V147) +((1-$AC147)*MIN(wCACH2*$AI147,maxCACH) + $AC147*MIN(wCACH3*$AI147,maxCACH))*IF($AE147&gt;0,$M147/$AE147,1)</f>
        <v>34.505000000000003</v>
      </c>
      <c r="AA147" s="12">
        <f>SUM($P147:$Z147)</f>
        <v>238.01</v>
      </c>
      <c r="AB147" s="10">
        <f>ROUND(AA147/172.5,1)</f>
        <v>1.4</v>
      </c>
      <c r="AC147" s="14">
        <f>IF(VLOOKUP($A147,Courses!$A$2:$P$268,7,FALSE)="Y",1,0)</f>
        <v>0</v>
      </c>
      <c r="AD147" s="14">
        <f>VLOOKUP($A147,Courses!$A$2:$P$268,8,FALSE)</f>
        <v>0</v>
      </c>
      <c r="AE147" s="14">
        <f>VLOOKUP($A147,Courses!$A$2:$P$268,9,FALSE)</f>
        <v>13</v>
      </c>
      <c r="AF147" s="14">
        <f>VLOOKUP($A147,Courses!$A$2:$P$268,10,FALSE)</f>
        <v>2</v>
      </c>
      <c r="AG147" s="14">
        <f>VLOOKUP($A147,Courses!$A$2:$P$268,11,FALSE)</f>
        <v>0</v>
      </c>
      <c r="AH147" s="15">
        <f>VLOOKUP($A147,Courses!$A$2:$P$268,12,FALSE)</f>
        <v>0</v>
      </c>
      <c r="AI147" s="15">
        <f>VLOOKUP($A147,Courses!$A$2:$P$268,13,FALSE)</f>
        <v>63</v>
      </c>
      <c r="AJ147" s="15">
        <f>VLOOKUP($A147,Courses!$A$2:$P$268,14,FALSE)</f>
        <v>0</v>
      </c>
      <c r="AK147" s="15">
        <f>VLOOKUP($A147,Courses!$A$2:$P$268,15,FALSE)</f>
        <v>0</v>
      </c>
      <c r="AL147" s="15">
        <f>VLOOKUP($A147,Courses!$A$2:$P$268,16,FALSE)</f>
        <v>0</v>
      </c>
    </row>
    <row r="148" spans="1:38">
      <c r="A148" s="13" t="str">
        <f>CONCATENATE(D148,H148)</f>
        <v>PPES4201S2</v>
      </c>
      <c r="B148" s="69" t="s">
        <v>8</v>
      </c>
      <c r="C148" s="83">
        <v>2020</v>
      </c>
      <c r="D148" s="80" t="s">
        <v>246</v>
      </c>
      <c r="E148" s="13" t="str">
        <f>IF(VLOOKUP($A148,Courses!$A$2:$F$268,3,FALSE)=0,"",VLOOKUP($A148,Courses!$A$2:$F$268,3,FALSE))</f>
        <v/>
      </c>
      <c r="F148" s="13" t="str">
        <f>IF(VLOOKUP($A148,Courses!$A$2:$F$268,4,FALSE)=0,"",VLOOKUP($A148,Courses!$A$2:$F$268,4,FALSE))</f>
        <v/>
      </c>
      <c r="G148" s="13" t="str">
        <f>VLOOKUP($A148,Courses!$A$2:$F$268,5,FALSE)</f>
        <v>Team Project</v>
      </c>
      <c r="H148" s="70" t="s">
        <v>254</v>
      </c>
      <c r="I148" s="21" t="s">
        <v>252</v>
      </c>
      <c r="L148" s="70">
        <v>1</v>
      </c>
      <c r="M148" s="71">
        <v>13</v>
      </c>
      <c r="N148" s="21"/>
      <c r="P148" s="12">
        <f>IF($I148="Y",(wCCH1+wCCH2*$AJ148)*($AE148*$AF148)+(1-$AC148)*MIN(wCCH3*$AI148,maxCCH) + $AC148*MIN(wCCH4*$AI148,maxCCH),0)</f>
        <v>31.4</v>
      </c>
      <c r="Q148" s="12">
        <f>IF($J148="Y",(wTCH1+wTCH2*IF($K148="Y",1,0))*$AG148*$AH148+(1-$AC148)*MIN(wTCH3*$AI148,maxTCH) + $AC148*MIN(wTCH4*$AI148,maxTCH),0)</f>
        <v>0</v>
      </c>
      <c r="R148" s="10">
        <f>(wOLH1+wOLH2*IF($K148="Y",1,0)+wOLH3*$AD148)*$T148 + wRLH*$U148</f>
        <v>78</v>
      </c>
      <c r="S148" s="10">
        <f>wOTH*$V148 + wRTH*$W148</f>
        <v>0</v>
      </c>
      <c r="T148" s="10">
        <f>IF($L148&gt;0,$M148*$AF148,0)</f>
        <v>26</v>
      </c>
      <c r="U148" s="10">
        <f>IF($L148&gt;1,($L148-1)*$M148*$AF148,0)</f>
        <v>0</v>
      </c>
      <c r="V148" s="10">
        <f>IF($N148&gt;0,$O148*$AH148,0)</f>
        <v>0</v>
      </c>
      <c r="W148" s="10">
        <f>IF($N148&gt;1,($N148-1)*$O148*$AH148,0)</f>
        <v>0</v>
      </c>
      <c r="X148" s="12">
        <f>(wAPH1+wAPH2*IF($K148="Y",1,0)+wAPH3*$AJ148)*IF($AE148&gt;0,$M148/$AE148,0)</f>
        <v>50</v>
      </c>
      <c r="Y148" s="33">
        <f>wCMH*MIN($AI148,maxCMH)*IF($AE148&gt;0,$M148/$AE148,1)</f>
        <v>15</v>
      </c>
      <c r="Z148" s="12">
        <f>wCACH1*($T148+$V148) +((1-$AC148)*MIN(wCACH2*$AI148,maxCACH) + $AC148*MIN(wCACH3*$AI148,maxCACH))*IF($AE148&gt;0,$M148/$AE148,1)</f>
        <v>31.4</v>
      </c>
      <c r="AA148" s="12">
        <f>SUM($P148:$Z148)</f>
        <v>231.8</v>
      </c>
      <c r="AB148" s="10">
        <f>ROUND(AA148/172.5,1)</f>
        <v>1.3</v>
      </c>
      <c r="AC148" s="14">
        <f>IF(VLOOKUP($A148,Courses!$A$2:$P$268,7,FALSE)="Y",1,0)</f>
        <v>0</v>
      </c>
      <c r="AD148" s="14">
        <f>VLOOKUP($A148,Courses!$A$2:$P$268,8,FALSE)</f>
        <v>0</v>
      </c>
      <c r="AE148" s="14">
        <f>VLOOKUP($A148,Courses!$A$2:$P$268,9,FALSE)</f>
        <v>13</v>
      </c>
      <c r="AF148" s="14">
        <f>VLOOKUP($A148,Courses!$A$2:$P$268,10,FALSE)</f>
        <v>2</v>
      </c>
      <c r="AG148" s="14">
        <f>VLOOKUP($A148,Courses!$A$2:$P$268,11,FALSE)</f>
        <v>0</v>
      </c>
      <c r="AH148" s="15">
        <f>VLOOKUP($A148,Courses!$A$2:$P$268,12,FALSE)</f>
        <v>0</v>
      </c>
      <c r="AI148" s="15">
        <f>VLOOKUP($A148,Courses!$A$2:$P$268,13,FALSE)</f>
        <v>40</v>
      </c>
      <c r="AJ148" s="15">
        <f>VLOOKUP($A148,Courses!$A$2:$P$268,14,FALSE)</f>
        <v>0</v>
      </c>
      <c r="AK148" s="15">
        <f>VLOOKUP($A148,Courses!$A$2:$P$268,15,FALSE)</f>
        <v>0</v>
      </c>
      <c r="AL148" s="15">
        <f>VLOOKUP($A148,Courses!$A$2:$P$268,16,FALSE)</f>
        <v>0</v>
      </c>
    </row>
    <row r="149" spans="1:38">
      <c r="A149" s="13" t="str">
        <f>CONCATENATE(D149,H149)</f>
        <v>PPES4202S2</v>
      </c>
      <c r="B149" s="69" t="s">
        <v>8</v>
      </c>
      <c r="C149" s="83">
        <v>2020</v>
      </c>
      <c r="D149" s="80" t="s">
        <v>247</v>
      </c>
      <c r="E149" s="13" t="str">
        <f>IF(VLOOKUP($A149,Courses!$A$2:$F$268,3,FALSE)=0,"",VLOOKUP($A149,Courses!$A$2:$F$268,3,FALSE))</f>
        <v/>
      </c>
      <c r="F149" s="13" t="str">
        <f>IF(VLOOKUP($A149,Courses!$A$2:$F$268,4,FALSE)=0,"",VLOOKUP($A149,Courses!$A$2:$F$268,4,FALSE))</f>
        <v/>
      </c>
      <c r="G149" s="13" t="str">
        <f>VLOOKUP($A149,Courses!$A$2:$F$268,5,FALSE)</f>
        <v>PPE Honours Thesis</v>
      </c>
      <c r="H149" s="70" t="s">
        <v>254</v>
      </c>
      <c r="I149" s="21" t="s">
        <v>252</v>
      </c>
      <c r="L149" s="70">
        <v>1</v>
      </c>
      <c r="M149" s="71">
        <v>13</v>
      </c>
      <c r="N149" s="21"/>
      <c r="P149" s="12">
        <f>IF($I149="Y",(wCCH1+wCCH2*$AJ149)*($AE149*$AF149)+(1-$AC149)*MIN(wCCH3*$AI149,maxCCH) + $AC149*MIN(wCCH4*$AI149,maxCCH),0)</f>
        <v>27.35</v>
      </c>
      <c r="Q149" s="12">
        <f>IF($J149="Y",(wTCH1+wTCH2*IF($K149="Y",1,0))*$AG149*$AH149+(1-$AC149)*MIN(wTCH3*$AI149,maxTCH) + $AC149*MIN(wTCH4*$AI149,maxTCH),0)</f>
        <v>0</v>
      </c>
      <c r="R149" s="10">
        <f>(wOLH1+wOLH2*IF($K149="Y",1,0)+wOLH3*$AD149)*$T149 + wRLH*$U149</f>
        <v>78</v>
      </c>
      <c r="S149" s="10">
        <f>wOTH*$V149 + wRTH*$W149</f>
        <v>0</v>
      </c>
      <c r="T149" s="10">
        <f>IF($L149&gt;0,$M149*$AF149,0)</f>
        <v>26</v>
      </c>
      <c r="U149" s="10">
        <f>IF($L149&gt;1,($L149-1)*$M149*$AF149,0)</f>
        <v>0</v>
      </c>
      <c r="V149" s="10">
        <f>IF($N149&gt;0,$O149*$AH149,0)</f>
        <v>0</v>
      </c>
      <c r="W149" s="10">
        <f>IF($N149&gt;1,($N149-1)*$O149*$AH149,0)</f>
        <v>0</v>
      </c>
      <c r="X149" s="12">
        <f>(wAPH1+wAPH2*IF($K149="Y",1,0)+wAPH3*$AJ149)*IF($AE149&gt;0,$M149/$AE149,0)</f>
        <v>50</v>
      </c>
      <c r="Y149" s="33">
        <f>wCMH*MIN($AI149,maxCMH)*IF($AE149&gt;0,$M149/$AE149,1)</f>
        <v>10</v>
      </c>
      <c r="Z149" s="12">
        <f>wCACH1*($T149+$V149) +((1-$AC149)*MIN(wCACH2*$AI149,maxCACH) + $AC149*MIN(wCACH3*$AI149,maxCACH))*IF($AE149&gt;0,$M149/$AE149,1)</f>
        <v>27.35</v>
      </c>
      <c r="AA149" s="12">
        <f>SUM($P149:$Z149)</f>
        <v>218.7</v>
      </c>
      <c r="AB149" s="10">
        <f>ROUND(AA149/172.5,1)</f>
        <v>1.3</v>
      </c>
      <c r="AC149" s="14">
        <f>IF(VLOOKUP($A149,Courses!$A$2:$P$268,7,FALSE)="Y",1,0)</f>
        <v>0</v>
      </c>
      <c r="AD149" s="14">
        <f>VLOOKUP($A149,Courses!$A$2:$P$268,8,FALSE)</f>
        <v>0</v>
      </c>
      <c r="AE149" s="14">
        <f>VLOOKUP($A149,Courses!$A$2:$P$268,9,FALSE)</f>
        <v>13</v>
      </c>
      <c r="AF149" s="14">
        <f>VLOOKUP($A149,Courses!$A$2:$P$268,10,FALSE)</f>
        <v>2</v>
      </c>
      <c r="AG149" s="14">
        <f>VLOOKUP($A149,Courses!$A$2:$P$268,11,FALSE)</f>
        <v>0</v>
      </c>
      <c r="AH149" s="15">
        <f>VLOOKUP($A149,Courses!$A$2:$P$268,12,FALSE)</f>
        <v>0</v>
      </c>
      <c r="AI149" s="15">
        <f>VLOOKUP($A149,Courses!$A$2:$P$268,13,FALSE)</f>
        <v>10</v>
      </c>
      <c r="AJ149" s="15">
        <f>VLOOKUP($A149,Courses!$A$2:$P$268,14,FALSE)</f>
        <v>0</v>
      </c>
      <c r="AK149" s="15">
        <f>VLOOKUP($A149,Courses!$A$2:$P$268,15,FALSE)</f>
        <v>0</v>
      </c>
      <c r="AL149" s="15">
        <f>VLOOKUP($A149,Courses!$A$2:$P$268,16,FALSE)</f>
        <v>0</v>
      </c>
    </row>
    <row r="150" spans="1:38">
      <c r="A150" s="13" t="str">
        <f>CONCATENATE(D150,H150)</f>
        <v>PPES4999S1</v>
      </c>
      <c r="B150" s="69" t="s">
        <v>19</v>
      </c>
      <c r="D150" s="80" t="s">
        <v>249</v>
      </c>
      <c r="E150" s="13" t="str">
        <f>IF(VLOOKUP($A150,Courses!$A$2:$F$268,3,FALSE)=0,"",VLOOKUP($A150,Courses!$A$2:$F$268,3,FALSE))</f>
        <v/>
      </c>
      <c r="F150" s="13" t="str">
        <f>IF(VLOOKUP($A150,Courses!$A$2:$F$268,4,FALSE)=0,"",VLOOKUP($A150,Courses!$A$2:$F$268,4,FALSE))</f>
        <v/>
      </c>
      <c r="G150" s="13" t="str">
        <f>VLOOKUP($A150,Courses!$A$2:$F$268,5,FALSE)</f>
        <v>Professional Practicum</v>
      </c>
      <c r="H150" s="70" t="s">
        <v>253</v>
      </c>
      <c r="I150" s="21" t="s">
        <v>252</v>
      </c>
      <c r="K150" s="70" t="s">
        <v>252</v>
      </c>
      <c r="L150" s="70">
        <v>1</v>
      </c>
      <c r="M150" s="71">
        <v>6</v>
      </c>
      <c r="N150" s="21">
        <v>1</v>
      </c>
      <c r="O150" s="70">
        <v>6</v>
      </c>
      <c r="P150" s="12">
        <f>IF($I150="Y",(wCCH1+wCCH2*$AJ150)*($AE150*$AF150)+(1-$AC150)*MIN(wCCH3*$AI150,maxCCH) + $AC150*MIN(wCCH4*$AI150,maxCCH),0)</f>
        <v>25.35</v>
      </c>
      <c r="Q150" s="12">
        <f>IF($J150="Y",(wTCH1+wTCH2*IF($K150="Y",1,0))*$AG150*$AH150+(1-$AC150)*MIN(wTCH3*$AI150,maxTCH) + $AC150*MIN(wTCH4*$AI150,maxTCH),0)</f>
        <v>0</v>
      </c>
      <c r="R150" s="10">
        <f>(wOLH1+wOLH2*IF($K150="Y",1,0)+wOLH3*$AD150)*$T150 + wRLH*$U150</f>
        <v>120</v>
      </c>
      <c r="S150" s="10">
        <f>wOTH*$V150 + wRTH*$W150</f>
        <v>6</v>
      </c>
      <c r="T150" s="10">
        <f>IF($L150&gt;0,$M150*$AF150,0)</f>
        <v>24</v>
      </c>
      <c r="U150" s="10">
        <f>IF($L150&gt;1,($L150-1)*$M150*$AF150,0)</f>
        <v>0</v>
      </c>
      <c r="V150" s="10">
        <f>IF($N150&gt;0,$O150*$AH150,0)</f>
        <v>6</v>
      </c>
      <c r="W150" s="10">
        <f>IF($N150&gt;1,($N150-1)*$O150*$AH150,0)</f>
        <v>0</v>
      </c>
      <c r="X150" s="12">
        <f>(wAPH1+wAPH2*IF($K150="Y",1,0)+wAPH3*$AJ150)*IF($AE150&gt;0,$M150/$AE150,0)</f>
        <v>70</v>
      </c>
      <c r="Y150" s="33">
        <f>wCMH*MIN($AI150,maxCMH)*IF($AE150&gt;0,$M150/$AE150,1)</f>
        <v>10</v>
      </c>
      <c r="Z150" s="12">
        <f>wCACH1*($T150+$V150) +((1-$AC150)*MIN(wCACH2*$AI150,maxCACH) + $AC150*MIN(wCACH3*$AI150,maxCACH))*IF($AE150&gt;0,$M150/$AE150,1)</f>
        <v>31.35</v>
      </c>
      <c r="AA150" s="12">
        <f>SUM($P150:$Z150)</f>
        <v>292.70000000000005</v>
      </c>
      <c r="AB150" s="10">
        <f>ROUND(AA150/172.5,1)</f>
        <v>1.7</v>
      </c>
      <c r="AC150" s="14">
        <f>IF(VLOOKUP($A150,Courses!$A$2:$P$268,7,FALSE)="Y",1,0)</f>
        <v>0</v>
      </c>
      <c r="AD150" s="14">
        <f>VLOOKUP($A150,Courses!$A$2:$P$268,8,FALSE)</f>
        <v>0</v>
      </c>
      <c r="AE150" s="14">
        <f>VLOOKUP($A150,Courses!$A$2:$P$268,9,FALSE)</f>
        <v>6</v>
      </c>
      <c r="AF150" s="14">
        <f>VLOOKUP($A150,Courses!$A$2:$P$268,10,FALSE)</f>
        <v>4</v>
      </c>
      <c r="AG150" s="14">
        <f>VLOOKUP($A150,Courses!$A$2:$P$268,11,FALSE)</f>
        <v>6</v>
      </c>
      <c r="AH150" s="15">
        <f>VLOOKUP($A150,Courses!$A$2:$P$268,12,FALSE)</f>
        <v>1</v>
      </c>
      <c r="AI150" s="15">
        <f>VLOOKUP($A150,Courses!$A$2:$P$268,13,FALSE)</f>
        <v>10</v>
      </c>
      <c r="AJ150" s="15">
        <f>VLOOKUP($A150,Courses!$A$2:$P$268,14,FALSE)</f>
        <v>0</v>
      </c>
      <c r="AK150" s="15">
        <f>VLOOKUP($A150,Courses!$A$2:$P$268,15,FALSE)</f>
        <v>0</v>
      </c>
      <c r="AL150" s="15">
        <f>VLOOKUP($A150,Courses!$A$2:$P$268,16,FALSE)</f>
        <v>1</v>
      </c>
    </row>
    <row r="151" spans="1:38">
      <c r="A151" s="13" t="str">
        <f>CONCATENATE(D151,H151)</f>
        <v>PUBH1110S2</v>
      </c>
      <c r="B151" s="69" t="s">
        <v>131</v>
      </c>
      <c r="C151" s="70">
        <v>2020</v>
      </c>
      <c r="D151" s="80" t="s">
        <v>522</v>
      </c>
      <c r="E151" s="13" t="str">
        <f>IF(VLOOKUP($A151,Courses!$A$2:$F$268,3,FALSE)=0,"",VLOOKUP($A151,Courses!$A$2:$F$268,3,FALSE))</f>
        <v/>
      </c>
      <c r="F151" s="13" t="str">
        <f>IF(VLOOKUP($A151,Courses!$A$2:$F$268,4,FALSE)=0,"",VLOOKUP($A151,Courses!$A$2:$F$268,4,FALSE))</f>
        <v/>
      </c>
      <c r="G151" s="13" t="str">
        <f>VLOOKUP($A151,Courses!$A$2:$F$268,5,FALSE)</f>
        <v>Integrative Thinking in Health</v>
      </c>
      <c r="H151" s="70" t="s">
        <v>254</v>
      </c>
      <c r="I151" s="21"/>
      <c r="L151" s="70">
        <v>1</v>
      </c>
      <c r="M151" s="71">
        <v>2</v>
      </c>
      <c r="N151" s="21"/>
      <c r="P151" s="12">
        <f>IF($I151="Y",(wCCH1+wCCH2*$AJ151)*($AE151*$AF151)+(1-$AC151)*MIN(wCCH3*$AI151,maxCCH) + $AC151*MIN(wCCH4*$AI151,maxCCH),0)</f>
        <v>0</v>
      </c>
      <c r="Q151" s="12">
        <f>IF($J151="Y",(wTCH1+wTCH2*IF($K151="Y",1,0))*$AG151*$AH151+(1-$AC151)*MIN(wTCH3*$AI151,maxTCH) + $AC151*MIN(wTCH4*$AI151,maxTCH),0)</f>
        <v>0</v>
      </c>
      <c r="R151" s="10">
        <f>(wOLH1+wOLH2*IF($K151="Y",1,0)+wOLH3*$AD151)*$T151 + wRLH*$U151</f>
        <v>12</v>
      </c>
      <c r="S151" s="10">
        <f>wOTH*$V151 + wRTH*$W151</f>
        <v>0</v>
      </c>
      <c r="T151" s="10">
        <f>IF($L151&gt;0,$M151*$AF151,0)</f>
        <v>4</v>
      </c>
      <c r="U151" s="10">
        <f>IF($L151&gt;1,($L151-1)*$M151*$AF151,0)</f>
        <v>0</v>
      </c>
      <c r="V151" s="10">
        <f>IF($N151&gt;0,$O151*$AH151,0)</f>
        <v>0</v>
      </c>
      <c r="W151" s="10">
        <f>IF($N151&gt;1,($N151-1)*$O151*$AH151,0)</f>
        <v>0</v>
      </c>
      <c r="X151" s="12">
        <f>(wAPH1+wAPH2*IF($K151="Y",1,0)+wAPH3*$AJ151)*IF($AE151&gt;0,$M151/$AE151,0)</f>
        <v>7.6923076923076925</v>
      </c>
      <c r="Y151" s="33">
        <f>wCMH*MIN($AI151,maxCMH)*IF($AE151&gt;0,$M151/$AE151,1)</f>
        <v>2.3076923076923079</v>
      </c>
      <c r="Z151" s="12">
        <f>wCACH1*($T151+$V151) +((1-$AC151)*MIN(wCACH2*$AI151,maxCACH) + $AC151*MIN(wCACH3*$AI151,maxCACH))*IF($AE151&gt;0,$M151/$AE151,1)</f>
        <v>5.8692307692307697</v>
      </c>
      <c r="AA151" s="12">
        <f>SUM($P151:$Z151)</f>
        <v>31.869230769230768</v>
      </c>
      <c r="AB151" s="10">
        <f>ROUND(AA151/172.5,1)</f>
        <v>0.2</v>
      </c>
      <c r="AC151" s="14">
        <f>IF(VLOOKUP($A151,Courses!$A$2:$P$268,7,FALSE)="Y",1,0)</f>
        <v>0</v>
      </c>
      <c r="AD151" s="14">
        <f>VLOOKUP($A151,Courses!$A$2:$P$268,8,FALSE)</f>
        <v>0</v>
      </c>
      <c r="AE151" s="14">
        <f>VLOOKUP($A151,Courses!$A$2:$P$268,9,FALSE)</f>
        <v>13</v>
      </c>
      <c r="AF151" s="14">
        <f>VLOOKUP($A151,Courses!$A$2:$P$268,10,FALSE)</f>
        <v>2</v>
      </c>
      <c r="AG151" s="14">
        <f>VLOOKUP($A151,Courses!$A$2:$P$268,11,FALSE)</f>
        <v>6</v>
      </c>
      <c r="AH151" s="15">
        <f>VLOOKUP($A151,Courses!$A$2:$P$268,12,FALSE)</f>
        <v>2</v>
      </c>
      <c r="AI151" s="15">
        <f>VLOOKUP($A151,Courses!$A$2:$P$268,13,FALSE)</f>
        <v>90</v>
      </c>
      <c r="AJ151" s="15">
        <f>VLOOKUP($A151,Courses!$A$2:$P$268,14,FALSE)</f>
        <v>0</v>
      </c>
      <c r="AK151" s="15">
        <f>VLOOKUP($A151,Courses!$A$2:$P$268,15,FALSE)</f>
        <v>0</v>
      </c>
      <c r="AL151" s="15">
        <f>VLOOKUP($A151,Courses!$A$2:$P$268,16,FALSE)</f>
        <v>3</v>
      </c>
    </row>
    <row r="152" spans="1:38">
      <c r="A152" s="13" t="str">
        <f>CONCATENATE(D152,H152)</f>
        <v>QLD in JulyS2</v>
      </c>
      <c r="B152" s="57" t="s">
        <v>807</v>
      </c>
      <c r="D152" s="47" t="s">
        <v>776</v>
      </c>
      <c r="E152" s="13" t="str">
        <f>IF(VLOOKUP($A152,Courses!$A$2:$F$268,3,FALSE)=0,"",VLOOKUP($A152,Courses!$A$2:$F$268,3,FALSE))</f>
        <v/>
      </c>
      <c r="F152" s="13" t="str">
        <f>IF(VLOOKUP($A152,Courses!$A$2:$F$268,4,FALSE)=0,"",VLOOKUP($A152,Courses!$A$2:$F$268,4,FALSE))</f>
        <v/>
      </c>
      <c r="G152" s="13" t="str">
        <f>VLOOKUP($A152,Courses!$A$2:$F$268,5,FALSE)</f>
        <v xml:space="preserve">Queensland in July </v>
      </c>
      <c r="H152" s="70" t="s">
        <v>254</v>
      </c>
      <c r="I152" s="21" t="s">
        <v>252</v>
      </c>
      <c r="L152" s="70">
        <v>1</v>
      </c>
      <c r="M152" s="71">
        <v>3</v>
      </c>
      <c r="N152" s="21"/>
      <c r="P152" s="12">
        <f>IF($I152="Y",(wCCH1+wCCH2*$AJ152)*($AE152*$AF152)+(1-$AC152)*MIN(wCCH3*$AI152,maxCCH) + $AC152*MIN(wCCH4*$AI152,maxCCH),0)</f>
        <v>40.049999999999997</v>
      </c>
      <c r="Q152" s="12">
        <f>IF($J152="Y",(wTCH1+wTCH2*IF($K152="Y",1,0))*$AG152*$AH152+(1-$AC152)*MIN(wTCH3*$AI152,maxTCH) + $AC152*MIN(wTCH4*$AI152,maxTCH),0)</f>
        <v>0</v>
      </c>
      <c r="R152" s="10">
        <f>(wOLH1+wOLH2*IF($K152="Y",1,0)+wOLH3*$AD152)*$T152 + wRLH*$U152</f>
        <v>108</v>
      </c>
      <c r="S152" s="10">
        <f>wOTH*$V152 + wRTH*$W152</f>
        <v>0</v>
      </c>
      <c r="T152" s="10">
        <f>IF($L152&gt;0,$M152*$AF152,0)</f>
        <v>36</v>
      </c>
      <c r="U152" s="10">
        <f>IF($L152&gt;1,($L152-1)*$M152*$AF152,0)</f>
        <v>0</v>
      </c>
      <c r="V152" s="10">
        <f>IF($N152&gt;0,$O152*$AH152,0)</f>
        <v>0</v>
      </c>
      <c r="W152" s="10">
        <f>IF($N152&gt;1,($N152-1)*$O152*$AH152,0)</f>
        <v>0</v>
      </c>
      <c r="X152" s="12">
        <f>(wAPH1+wAPH2*IF($K152="Y",1,0)+wAPH3*$AJ152)*IF($AE152&gt;0,$M152/$AE152,0)</f>
        <v>50</v>
      </c>
      <c r="Y152" s="33">
        <f>wCMH*MIN($AI152,maxCMH)*IF($AE152&gt;0,$M152/$AE152,1)</f>
        <v>15</v>
      </c>
      <c r="Z152" s="12">
        <f>wCACH1*($T152+$V152) +((1-$AC152)*MIN(wCACH2*$AI152,maxCACH) + $AC152*MIN(wCACH3*$AI152,maxCACH))*IF($AE152&gt;0,$M152/$AE152,1)</f>
        <v>40.049999999999997</v>
      </c>
      <c r="AA152" s="12">
        <f>SUM($P152:$Z152)</f>
        <v>289.10000000000002</v>
      </c>
      <c r="AB152" s="10">
        <f>ROUND(AA152/172.5,1)</f>
        <v>1.7</v>
      </c>
      <c r="AC152" s="14">
        <f>IF(VLOOKUP($A152,Courses!$A$2:$P$268,7,FALSE)="Y",1,0)</f>
        <v>0</v>
      </c>
      <c r="AD152" s="14">
        <f>VLOOKUP($A152,Courses!$A$2:$P$268,8,FALSE)</f>
        <v>0</v>
      </c>
      <c r="AE152" s="14">
        <f>VLOOKUP($A152,Courses!$A$2:$P$268,9,FALSE)</f>
        <v>3</v>
      </c>
      <c r="AF152" s="14">
        <f>VLOOKUP($A152,Courses!$A$2:$P$268,10,FALSE)</f>
        <v>12</v>
      </c>
      <c r="AG152" s="14">
        <f>VLOOKUP($A152,Courses!$A$2:$P$268,11,FALSE)</f>
        <v>0</v>
      </c>
      <c r="AH152" s="15">
        <f>VLOOKUP($A152,Courses!$A$2:$P$268,12,FALSE)</f>
        <v>0</v>
      </c>
      <c r="AI152" s="15">
        <f>VLOOKUP($A152,Courses!$A$2:$P$268,13,FALSE)</f>
        <v>30</v>
      </c>
      <c r="AJ152" s="15">
        <f>VLOOKUP($A152,Courses!$A$2:$P$268,14,FALSE)</f>
        <v>0</v>
      </c>
      <c r="AK152" s="15">
        <f>VLOOKUP($A152,Courses!$A$2:$P$268,15,FALSE)</f>
        <v>0</v>
      </c>
      <c r="AL152" s="15">
        <f>VLOOKUP($A152,Courses!$A$2:$P$268,16,FALSE)</f>
        <v>0</v>
      </c>
    </row>
    <row r="153" spans="1:38">
      <c r="N153" s="21"/>
    </row>
    <row r="154" spans="1:38">
      <c r="N154" s="21"/>
    </row>
    <row r="155" spans="1:38">
      <c r="N155" s="21"/>
    </row>
    <row r="156" spans="1:38">
      <c r="N156" s="21"/>
    </row>
    <row r="157" spans="1:38">
      <c r="N157" s="21"/>
    </row>
    <row r="158" spans="1:38">
      <c r="N158" s="21"/>
    </row>
    <row r="159" spans="1:38">
      <c r="N159" s="21"/>
    </row>
    <row r="160" spans="1:38">
      <c r="N160" s="21"/>
    </row>
    <row r="161" spans="14:14">
      <c r="N161" s="21"/>
    </row>
  </sheetData>
  <sheetProtection algorithmName="SHA-512" hashValue="BMo+4cDll2xcXmN5LBVat5RqDQALNYbjeTrmiIOqG8a/bSXqGxQLphcTEjsnEr6GmqKZ0MKTtgMOxUdCgZImHA==" saltValue="mZoDRJos0olOEPL4QI+1Kg==" spinCount="100000" sheet="1" formatCells="0" formatColumns="0" formatRows="0" insertColumns="0" insertRows="0" insertHyperlinks="0" deleteColumns="0" deleteRows="0" sort="0" autoFilter="0"/>
  <autoFilter ref="A1:AL152">
    <sortState ref="A2:AM152">
      <sortCondition ref="A1:A152"/>
    </sortState>
  </autoFilter>
  <sortState ref="A2:AP167">
    <sortCondition descending="1" ref="AI2:AI167"/>
    <sortCondition ref="A2:A167"/>
    <sortCondition ref="H2:H16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1"/>
  <sheetViews>
    <sheetView zoomScaleNormal="100" workbookViewId="0"/>
  </sheetViews>
  <sheetFormatPr defaultColWidth="7.5" defaultRowHeight="15"/>
  <cols>
    <col min="1" max="1" width="13.5" style="90" bestFit="1" customWidth="1"/>
    <col min="2" max="2" width="13.5" style="90" customWidth="1"/>
    <col min="3" max="3" width="10.375" style="81" bestFit="1" customWidth="1"/>
    <col min="4" max="4" width="10.875" style="82" bestFit="1" customWidth="1"/>
    <col min="5" max="5" width="15" style="82" customWidth="1"/>
    <col min="6" max="6" width="13.5" style="82" customWidth="1"/>
    <col min="7" max="7" width="19.875" style="82" bestFit="1" customWidth="1"/>
    <col min="8" max="8" width="14.125" style="77" hidden="1" customWidth="1"/>
    <col min="9" max="9" width="17.875" style="95" bestFit="1" customWidth="1"/>
    <col min="10" max="10" width="11.5" style="82" customWidth="1"/>
    <col min="11" max="11" width="10.5" style="82" customWidth="1"/>
    <col min="12" max="12" width="16" style="34" customWidth="1"/>
    <col min="13" max="13" width="16" style="59" customWidth="1"/>
    <col min="14" max="14" width="10.625" style="190" bestFit="1" customWidth="1"/>
    <col min="15" max="16384" width="7.5" style="84"/>
  </cols>
  <sheetData>
    <row r="1" spans="1:14" s="24" customFormat="1" ht="60">
      <c r="A1" s="22" t="s">
        <v>643</v>
      </c>
      <c r="B1" s="22" t="s">
        <v>642</v>
      </c>
      <c r="C1" s="1" t="s">
        <v>475</v>
      </c>
      <c r="D1" s="1" t="s">
        <v>0</v>
      </c>
      <c r="E1" s="1" t="s">
        <v>661</v>
      </c>
      <c r="F1" s="1" t="s">
        <v>662</v>
      </c>
      <c r="G1" s="1" t="s">
        <v>802</v>
      </c>
      <c r="H1" s="30" t="s">
        <v>663</v>
      </c>
      <c r="I1" s="22" t="s">
        <v>117</v>
      </c>
      <c r="J1" s="23" t="s">
        <v>118</v>
      </c>
      <c r="K1" s="23" t="s">
        <v>278</v>
      </c>
      <c r="L1" s="11" t="s">
        <v>478</v>
      </c>
      <c r="M1" s="32" t="s">
        <v>479</v>
      </c>
      <c r="N1" s="187" t="s">
        <v>584</v>
      </c>
    </row>
    <row r="2" spans="1:14" s="89" customFormat="1">
      <c r="A2" s="73" t="s">
        <v>596</v>
      </c>
      <c r="B2" s="73" t="s">
        <v>597</v>
      </c>
      <c r="C2" s="85">
        <v>43831</v>
      </c>
      <c r="D2" s="86" t="s">
        <v>119</v>
      </c>
      <c r="E2" s="82"/>
      <c r="F2" s="86" t="s">
        <v>252</v>
      </c>
      <c r="G2" s="82"/>
      <c r="H2" s="77"/>
      <c r="I2" s="73" t="s">
        <v>125</v>
      </c>
      <c r="J2" s="87">
        <v>0.34</v>
      </c>
      <c r="K2" s="88">
        <v>46</v>
      </c>
      <c r="L2" s="34">
        <f t="shared" ref="L2:L11" si="0">IF($D2="FT",1,0.5)*(wPC*IF($E2="Y",1,0) +wPT*IF($F2="Y",1,0) + wMT*IF($G2="Y",1,0) + wHT*IF($H2="Y",1,0))*$J2*$K2</f>
        <v>18.768000000000001</v>
      </c>
      <c r="M2" s="59">
        <f t="shared" ref="M2:M11" si="1">ROUND($L2/172.5,2)</f>
        <v>0.11</v>
      </c>
      <c r="N2" s="188"/>
    </row>
    <row r="3" spans="1:14" s="89" customFormat="1">
      <c r="A3" s="52" t="s">
        <v>620</v>
      </c>
      <c r="B3" s="44" t="s">
        <v>621</v>
      </c>
      <c r="C3" s="55">
        <v>43466</v>
      </c>
      <c r="D3" s="56" t="s">
        <v>119</v>
      </c>
      <c r="E3" s="82"/>
      <c r="F3" s="56" t="s">
        <v>252</v>
      </c>
      <c r="G3" s="82"/>
      <c r="H3" s="77"/>
      <c r="I3" s="57" t="s">
        <v>125</v>
      </c>
      <c r="J3" s="45">
        <v>0.8</v>
      </c>
      <c r="K3" s="45">
        <v>29</v>
      </c>
      <c r="L3" s="34">
        <f t="shared" si="0"/>
        <v>27.84</v>
      </c>
      <c r="M3" s="59">
        <f t="shared" si="1"/>
        <v>0.16</v>
      </c>
      <c r="N3" s="188"/>
    </row>
    <row r="4" spans="1:14" s="89" customFormat="1">
      <c r="A4" s="52" t="s">
        <v>620</v>
      </c>
      <c r="B4" s="44" t="s">
        <v>621</v>
      </c>
      <c r="C4" s="55">
        <v>43466</v>
      </c>
      <c r="D4" s="56" t="s">
        <v>119</v>
      </c>
      <c r="E4" s="82"/>
      <c r="F4" s="56" t="s">
        <v>252</v>
      </c>
      <c r="G4" s="82"/>
      <c r="H4" s="77"/>
      <c r="I4" s="57" t="s">
        <v>125</v>
      </c>
      <c r="J4" s="45">
        <v>0.5</v>
      </c>
      <c r="K4" s="45">
        <v>17</v>
      </c>
      <c r="L4" s="34">
        <f t="shared" si="0"/>
        <v>10.199999999999999</v>
      </c>
      <c r="M4" s="59">
        <f t="shared" si="1"/>
        <v>0.06</v>
      </c>
      <c r="N4" s="188"/>
    </row>
    <row r="5" spans="1:14" s="89" customFormat="1">
      <c r="A5" s="73" t="s">
        <v>604</v>
      </c>
      <c r="B5" s="73" t="s">
        <v>605</v>
      </c>
      <c r="C5" s="85">
        <v>43831</v>
      </c>
      <c r="D5" s="86" t="s">
        <v>119</v>
      </c>
      <c r="E5" s="82"/>
      <c r="F5" s="86" t="s">
        <v>252</v>
      </c>
      <c r="G5" s="82"/>
      <c r="H5" s="77"/>
      <c r="I5" s="73" t="s">
        <v>125</v>
      </c>
      <c r="J5" s="87">
        <v>0.5</v>
      </c>
      <c r="K5" s="88">
        <v>46</v>
      </c>
      <c r="L5" s="34">
        <f t="shared" si="0"/>
        <v>27.599999999999998</v>
      </c>
      <c r="M5" s="59">
        <f t="shared" si="1"/>
        <v>0.16</v>
      </c>
      <c r="N5" s="188"/>
    </row>
    <row r="6" spans="1:14" s="89" customFormat="1">
      <c r="A6" s="80"/>
      <c r="B6" s="80"/>
      <c r="C6" s="81"/>
      <c r="D6" s="86" t="s">
        <v>119</v>
      </c>
      <c r="E6" s="82"/>
      <c r="F6" s="82"/>
      <c r="G6" s="82" t="s">
        <v>252</v>
      </c>
      <c r="H6" s="77"/>
      <c r="I6" s="74" t="s">
        <v>125</v>
      </c>
      <c r="J6" s="150">
        <v>0.99999999999999956</v>
      </c>
      <c r="K6" s="83">
        <v>46</v>
      </c>
      <c r="L6" s="34">
        <f t="shared" si="0"/>
        <v>27.599999999999987</v>
      </c>
      <c r="M6" s="59">
        <f t="shared" si="1"/>
        <v>0.16</v>
      </c>
      <c r="N6" s="188"/>
    </row>
    <row r="7" spans="1:14" s="89" customFormat="1">
      <c r="A7" s="80"/>
      <c r="B7" s="80"/>
      <c r="C7" s="81"/>
      <c r="D7" s="86" t="s">
        <v>119</v>
      </c>
      <c r="E7" s="82"/>
      <c r="F7" s="82"/>
      <c r="G7" s="82" t="s">
        <v>252</v>
      </c>
      <c r="H7" s="77"/>
      <c r="I7" s="74" t="s">
        <v>6</v>
      </c>
      <c r="J7" s="150">
        <v>8.3333333333333329E-2</v>
      </c>
      <c r="K7" s="83">
        <v>46</v>
      </c>
      <c r="L7" s="34">
        <f t="shared" si="0"/>
        <v>2.2999999999999998</v>
      </c>
      <c r="M7" s="59">
        <f t="shared" si="1"/>
        <v>0.01</v>
      </c>
      <c r="N7" s="188"/>
    </row>
    <row r="8" spans="1:14" s="89" customFormat="1">
      <c r="A8" s="52" t="s">
        <v>629</v>
      </c>
      <c r="B8" s="44" t="s">
        <v>630</v>
      </c>
      <c r="C8" s="55">
        <v>43451</v>
      </c>
      <c r="D8" s="86" t="s">
        <v>119</v>
      </c>
      <c r="E8" s="56"/>
      <c r="F8" s="56" t="s">
        <v>252</v>
      </c>
      <c r="G8" s="82"/>
      <c r="H8" s="77"/>
      <c r="I8" s="57" t="s">
        <v>168</v>
      </c>
      <c r="J8" s="45">
        <v>0.15</v>
      </c>
      <c r="K8" s="45">
        <v>46</v>
      </c>
      <c r="L8" s="34">
        <f t="shared" si="0"/>
        <v>8.2799999999999994</v>
      </c>
      <c r="M8" s="59">
        <f t="shared" si="1"/>
        <v>0.05</v>
      </c>
      <c r="N8" s="188"/>
    </row>
    <row r="9" spans="1:14">
      <c r="C9" s="91"/>
      <c r="D9" s="86" t="s">
        <v>119</v>
      </c>
      <c r="G9" s="82" t="s">
        <v>252</v>
      </c>
      <c r="I9" s="74" t="s">
        <v>168</v>
      </c>
      <c r="J9" s="150">
        <v>0.16666666666666666</v>
      </c>
      <c r="K9" s="83">
        <v>46</v>
      </c>
      <c r="L9" s="34">
        <f t="shared" si="0"/>
        <v>4.5999999999999996</v>
      </c>
      <c r="M9" s="59">
        <f t="shared" si="1"/>
        <v>0.03</v>
      </c>
      <c r="N9" s="188"/>
    </row>
    <row r="10" spans="1:14">
      <c r="A10" s="73" t="s">
        <v>596</v>
      </c>
      <c r="B10" s="73" t="s">
        <v>597</v>
      </c>
      <c r="C10" s="85">
        <v>43831</v>
      </c>
      <c r="D10" s="86" t="s">
        <v>119</v>
      </c>
      <c r="F10" s="86" t="s">
        <v>252</v>
      </c>
      <c r="I10" s="163" t="s">
        <v>7</v>
      </c>
      <c r="J10" s="87">
        <v>0.33</v>
      </c>
      <c r="K10" s="88">
        <v>46</v>
      </c>
      <c r="L10" s="34">
        <f t="shared" si="0"/>
        <v>18.216000000000001</v>
      </c>
      <c r="M10" s="59">
        <f t="shared" si="1"/>
        <v>0.11</v>
      </c>
      <c r="N10" s="188"/>
    </row>
    <row r="11" spans="1:14">
      <c r="C11" s="91"/>
      <c r="D11" s="86" t="s">
        <v>119</v>
      </c>
      <c r="G11" s="82" t="s">
        <v>252</v>
      </c>
      <c r="H11" s="39"/>
      <c r="I11" s="74" t="s">
        <v>7</v>
      </c>
      <c r="J11" s="150">
        <v>0.91666666666666663</v>
      </c>
      <c r="K11" s="83">
        <v>46</v>
      </c>
      <c r="L11" s="34">
        <f t="shared" si="0"/>
        <v>25.299999999999997</v>
      </c>
      <c r="M11" s="59">
        <f t="shared" si="1"/>
        <v>0.15</v>
      </c>
      <c r="N11" s="188"/>
    </row>
    <row r="12" spans="1:14">
      <c r="C12" s="91"/>
      <c r="D12" s="86" t="s">
        <v>119</v>
      </c>
      <c r="G12" s="82" t="s">
        <v>252</v>
      </c>
      <c r="H12" s="39"/>
      <c r="I12" s="74" t="s">
        <v>524</v>
      </c>
      <c r="J12" s="150">
        <v>0.25</v>
      </c>
      <c r="K12" s="83">
        <v>46</v>
      </c>
      <c r="N12" s="188"/>
    </row>
    <row r="13" spans="1:14">
      <c r="A13" s="80"/>
      <c r="B13" s="80"/>
      <c r="D13" s="86" t="s">
        <v>119</v>
      </c>
      <c r="G13" s="82" t="s">
        <v>252</v>
      </c>
      <c r="I13" s="74" t="s">
        <v>129</v>
      </c>
      <c r="J13" s="150">
        <v>0.5</v>
      </c>
      <c r="K13" s="83">
        <v>46</v>
      </c>
      <c r="L13" s="34">
        <f t="shared" ref="L13:L33" si="2">IF($D13="FT",1,0.5)*(wPC*IF($E13="Y",1,0) +wPT*IF($F13="Y",1,0) + wMT*IF($G13="Y",1,0) + wHT*IF($H13="Y",1,0))*$J13*$K13</f>
        <v>13.799999999999999</v>
      </c>
      <c r="M13" s="59">
        <f t="shared" ref="M13:M33" si="3">ROUND($L13/172.5,2)</f>
        <v>0.08</v>
      </c>
      <c r="N13" s="188"/>
    </row>
    <row r="14" spans="1:14">
      <c r="A14" s="80"/>
      <c r="B14" s="80"/>
      <c r="D14" s="86" t="s">
        <v>119</v>
      </c>
      <c r="G14" s="82" t="s">
        <v>252</v>
      </c>
      <c r="H14" s="39"/>
      <c r="I14" s="74" t="s">
        <v>8</v>
      </c>
      <c r="J14" s="150">
        <v>0.33333333333333331</v>
      </c>
      <c r="K14" s="83">
        <v>46</v>
      </c>
      <c r="L14" s="34">
        <f t="shared" si="2"/>
        <v>9.1999999999999993</v>
      </c>
      <c r="M14" s="59">
        <f t="shared" si="3"/>
        <v>0.05</v>
      </c>
      <c r="N14" s="189"/>
    </row>
    <row r="15" spans="1:14">
      <c r="A15" s="52" t="s">
        <v>618</v>
      </c>
      <c r="B15" s="44" t="s">
        <v>619</v>
      </c>
      <c r="C15" s="55">
        <v>43466</v>
      </c>
      <c r="D15" s="86" t="s">
        <v>119</v>
      </c>
      <c r="F15" s="56" t="s">
        <v>252</v>
      </c>
      <c r="I15" s="57" t="s">
        <v>9</v>
      </c>
      <c r="J15" s="45">
        <v>0.6</v>
      </c>
      <c r="K15" s="58">
        <v>46</v>
      </c>
      <c r="L15" s="34">
        <f t="shared" si="2"/>
        <v>33.119999999999997</v>
      </c>
      <c r="M15" s="59">
        <f t="shared" si="3"/>
        <v>0.19</v>
      </c>
      <c r="N15" s="188"/>
    </row>
    <row r="16" spans="1:14">
      <c r="A16" s="73" t="s">
        <v>594</v>
      </c>
      <c r="B16" s="73" t="s">
        <v>595</v>
      </c>
      <c r="C16" s="85">
        <v>43922</v>
      </c>
      <c r="D16" s="86" t="s">
        <v>119</v>
      </c>
      <c r="E16" s="86" t="s">
        <v>252</v>
      </c>
      <c r="F16" s="86"/>
      <c r="I16" s="73" t="s">
        <v>9</v>
      </c>
      <c r="J16" s="87">
        <v>0.2</v>
      </c>
      <c r="K16" s="88">
        <v>34.5</v>
      </c>
      <c r="L16" s="34">
        <f t="shared" si="2"/>
        <v>4.1399999999999997</v>
      </c>
      <c r="M16" s="59">
        <f t="shared" si="3"/>
        <v>0.02</v>
      </c>
      <c r="N16" s="188"/>
    </row>
    <row r="17" spans="1:14">
      <c r="A17" s="73" t="s">
        <v>594</v>
      </c>
      <c r="B17" s="73" t="s">
        <v>595</v>
      </c>
      <c r="C17" s="85">
        <v>43922</v>
      </c>
      <c r="D17" s="86" t="s">
        <v>119</v>
      </c>
      <c r="F17" s="86" t="s">
        <v>252</v>
      </c>
      <c r="I17" s="73" t="s">
        <v>9</v>
      </c>
      <c r="J17" s="87">
        <v>0.2</v>
      </c>
      <c r="K17" s="92">
        <v>11.5</v>
      </c>
      <c r="L17" s="34">
        <f t="shared" si="2"/>
        <v>2.76</v>
      </c>
      <c r="M17" s="59">
        <f t="shared" si="3"/>
        <v>0.02</v>
      </c>
      <c r="N17" s="188"/>
    </row>
    <row r="18" spans="1:14">
      <c r="A18" s="73" t="s">
        <v>606</v>
      </c>
      <c r="B18" s="73" t="s">
        <v>607</v>
      </c>
      <c r="C18" s="85">
        <v>43831</v>
      </c>
      <c r="D18" s="86" t="s">
        <v>119</v>
      </c>
      <c r="F18" s="86" t="s">
        <v>252</v>
      </c>
      <c r="I18" s="93" t="s">
        <v>9</v>
      </c>
      <c r="J18" s="87">
        <v>0.3</v>
      </c>
      <c r="K18" s="88">
        <v>46</v>
      </c>
      <c r="L18" s="34">
        <f t="shared" si="2"/>
        <v>16.559999999999999</v>
      </c>
      <c r="M18" s="59">
        <f t="shared" si="3"/>
        <v>0.1</v>
      </c>
      <c r="N18" s="188"/>
    </row>
    <row r="19" spans="1:14">
      <c r="A19" s="80"/>
      <c r="B19" s="80"/>
      <c r="D19" s="86" t="s">
        <v>119</v>
      </c>
      <c r="G19" s="82" t="s">
        <v>252</v>
      </c>
      <c r="H19" s="39"/>
      <c r="I19" s="76" t="s">
        <v>9</v>
      </c>
      <c r="J19" s="150">
        <v>1.3333333333333333</v>
      </c>
      <c r="K19" s="83">
        <v>46</v>
      </c>
      <c r="L19" s="34">
        <f t="shared" si="2"/>
        <v>36.799999999999997</v>
      </c>
      <c r="M19" s="59">
        <f t="shared" si="3"/>
        <v>0.21</v>
      </c>
      <c r="N19" s="188"/>
    </row>
    <row r="20" spans="1:14">
      <c r="A20" s="73" t="s">
        <v>589</v>
      </c>
      <c r="B20" s="73"/>
      <c r="C20" s="85">
        <v>44013</v>
      </c>
      <c r="D20" s="86" t="s">
        <v>119</v>
      </c>
      <c r="E20" s="86" t="s">
        <v>252</v>
      </c>
      <c r="F20" s="86"/>
      <c r="I20" s="73" t="s">
        <v>128</v>
      </c>
      <c r="J20" s="87">
        <v>0.7</v>
      </c>
      <c r="K20" s="88">
        <v>23</v>
      </c>
      <c r="L20" s="34">
        <f t="shared" si="2"/>
        <v>9.66</v>
      </c>
      <c r="M20" s="59">
        <f t="shared" si="3"/>
        <v>0.06</v>
      </c>
      <c r="N20" s="188"/>
    </row>
    <row r="21" spans="1:14">
      <c r="A21" s="73" t="s">
        <v>589</v>
      </c>
      <c r="B21" s="73"/>
      <c r="C21" s="85">
        <v>44013</v>
      </c>
      <c r="D21" s="86" t="s">
        <v>119</v>
      </c>
      <c r="F21" s="86" t="s">
        <v>252</v>
      </c>
      <c r="I21" s="73" t="s">
        <v>128</v>
      </c>
      <c r="J21" s="87">
        <v>0.7</v>
      </c>
      <c r="K21" s="88">
        <v>23</v>
      </c>
      <c r="L21" s="34">
        <f t="shared" si="2"/>
        <v>19.32</v>
      </c>
      <c r="M21" s="59">
        <f t="shared" si="3"/>
        <v>0.11</v>
      </c>
      <c r="N21" s="188"/>
    </row>
    <row r="22" spans="1:14">
      <c r="A22" s="52" t="s">
        <v>637</v>
      </c>
      <c r="B22" s="44" t="s">
        <v>638</v>
      </c>
      <c r="C22" s="55">
        <v>43101</v>
      </c>
      <c r="D22" s="86" t="s">
        <v>119</v>
      </c>
      <c r="E22" s="56"/>
      <c r="F22" s="56" t="s">
        <v>252</v>
      </c>
      <c r="I22" s="57" t="s">
        <v>128</v>
      </c>
      <c r="J22" s="45">
        <v>0.8</v>
      </c>
      <c r="K22" s="45">
        <v>46</v>
      </c>
      <c r="L22" s="34">
        <f t="shared" si="2"/>
        <v>44.16</v>
      </c>
      <c r="M22" s="59">
        <f t="shared" si="3"/>
        <v>0.26</v>
      </c>
      <c r="N22" s="188"/>
    </row>
    <row r="23" spans="1:14">
      <c r="A23" s="52" t="s">
        <v>633</v>
      </c>
      <c r="B23" s="44" t="s">
        <v>634</v>
      </c>
      <c r="C23" s="55">
        <v>43191</v>
      </c>
      <c r="D23" s="86" t="s">
        <v>119</v>
      </c>
      <c r="E23" s="56"/>
      <c r="F23" s="56" t="s">
        <v>252</v>
      </c>
      <c r="I23" s="57" t="s">
        <v>128</v>
      </c>
      <c r="J23" s="45">
        <v>0.6</v>
      </c>
      <c r="K23" s="45">
        <v>46</v>
      </c>
      <c r="L23" s="34">
        <f t="shared" si="2"/>
        <v>33.119999999999997</v>
      </c>
      <c r="M23" s="59">
        <f t="shared" si="3"/>
        <v>0.19</v>
      </c>
      <c r="N23" s="188"/>
    </row>
    <row r="24" spans="1:14">
      <c r="A24" s="80"/>
      <c r="B24" s="80"/>
      <c r="D24" s="86" t="s">
        <v>119</v>
      </c>
      <c r="G24" s="82" t="s">
        <v>252</v>
      </c>
      <c r="I24" s="74" t="s">
        <v>128</v>
      </c>
      <c r="J24" s="151">
        <v>0.16666666666666666</v>
      </c>
      <c r="K24" s="83">
        <v>46</v>
      </c>
      <c r="L24" s="34">
        <f t="shared" si="2"/>
        <v>4.5999999999999996</v>
      </c>
      <c r="M24" s="59">
        <f t="shared" si="3"/>
        <v>0.03</v>
      </c>
      <c r="N24" s="188"/>
    </row>
    <row r="25" spans="1:14">
      <c r="A25" s="52" t="s">
        <v>635</v>
      </c>
      <c r="B25" s="44" t="s">
        <v>636</v>
      </c>
      <c r="C25" s="55">
        <v>43101</v>
      </c>
      <c r="D25" s="86" t="s">
        <v>119</v>
      </c>
      <c r="E25" s="45" t="s">
        <v>252</v>
      </c>
      <c r="F25" s="56"/>
      <c r="I25" s="57" t="s">
        <v>10</v>
      </c>
      <c r="J25" s="45">
        <v>0.8</v>
      </c>
      <c r="K25" s="56">
        <v>23</v>
      </c>
      <c r="L25" s="34">
        <f t="shared" si="2"/>
        <v>11.04</v>
      </c>
      <c r="M25" s="59">
        <f t="shared" si="3"/>
        <v>0.06</v>
      </c>
      <c r="N25" s="188"/>
    </row>
    <row r="26" spans="1:14">
      <c r="A26" s="52" t="s">
        <v>635</v>
      </c>
      <c r="B26" s="44" t="s">
        <v>636</v>
      </c>
      <c r="C26" s="55">
        <v>43101</v>
      </c>
      <c r="D26" s="86" t="s">
        <v>119</v>
      </c>
      <c r="F26" s="45" t="s">
        <v>252</v>
      </c>
      <c r="I26" s="57" t="s">
        <v>10</v>
      </c>
      <c r="J26" s="72">
        <v>0.8</v>
      </c>
      <c r="K26" s="56">
        <v>23</v>
      </c>
      <c r="L26" s="34">
        <f t="shared" si="2"/>
        <v>22.08</v>
      </c>
      <c r="M26" s="59">
        <f t="shared" si="3"/>
        <v>0.13</v>
      </c>
      <c r="N26" s="188"/>
    </row>
    <row r="27" spans="1:14">
      <c r="A27" s="52" t="s">
        <v>629</v>
      </c>
      <c r="B27" s="44" t="s">
        <v>630</v>
      </c>
      <c r="C27" s="55">
        <v>43451</v>
      </c>
      <c r="D27" s="86" t="s">
        <v>119</v>
      </c>
      <c r="E27" s="56"/>
      <c r="F27" s="56" t="s">
        <v>252</v>
      </c>
      <c r="I27" s="57" t="s">
        <v>10</v>
      </c>
      <c r="J27" s="45">
        <v>0.6</v>
      </c>
      <c r="K27" s="45">
        <v>46</v>
      </c>
      <c r="L27" s="34">
        <f t="shared" si="2"/>
        <v>33.119999999999997</v>
      </c>
      <c r="M27" s="59">
        <f t="shared" si="3"/>
        <v>0.19</v>
      </c>
      <c r="N27" s="188"/>
    </row>
    <row r="28" spans="1:14">
      <c r="A28" s="80"/>
      <c r="B28" s="80"/>
      <c r="D28" s="86" t="s">
        <v>119</v>
      </c>
      <c r="G28" s="82" t="s">
        <v>252</v>
      </c>
      <c r="I28" s="74" t="s">
        <v>10</v>
      </c>
      <c r="J28" s="151">
        <v>0.83333333333333326</v>
      </c>
      <c r="K28" s="83">
        <v>46</v>
      </c>
      <c r="L28" s="34">
        <f t="shared" si="2"/>
        <v>22.999999999999996</v>
      </c>
      <c r="M28" s="59">
        <f t="shared" si="3"/>
        <v>0.13</v>
      </c>
      <c r="N28" s="189"/>
    </row>
    <row r="29" spans="1:14">
      <c r="A29" s="73" t="s">
        <v>598</v>
      </c>
      <c r="B29" s="73" t="s">
        <v>599</v>
      </c>
      <c r="C29" s="85">
        <v>43831</v>
      </c>
      <c r="D29" s="86" t="s">
        <v>119</v>
      </c>
      <c r="F29" s="86" t="s">
        <v>252</v>
      </c>
      <c r="I29" s="73" t="s">
        <v>269</v>
      </c>
      <c r="J29" s="87">
        <v>0.3</v>
      </c>
      <c r="K29" s="88">
        <v>46</v>
      </c>
      <c r="L29" s="34">
        <f t="shared" si="2"/>
        <v>16.559999999999999</v>
      </c>
      <c r="M29" s="59">
        <f t="shared" si="3"/>
        <v>0.1</v>
      </c>
      <c r="N29" s="188"/>
    </row>
    <row r="30" spans="1:14">
      <c r="A30" s="80"/>
      <c r="B30" s="80"/>
      <c r="D30" s="86" t="s">
        <v>119</v>
      </c>
      <c r="G30" s="82" t="s">
        <v>252</v>
      </c>
      <c r="I30" s="74" t="s">
        <v>269</v>
      </c>
      <c r="J30" s="151">
        <v>0.5</v>
      </c>
      <c r="K30" s="83">
        <v>46</v>
      </c>
      <c r="L30" s="34">
        <f t="shared" si="2"/>
        <v>13.799999999999999</v>
      </c>
      <c r="M30" s="59">
        <f t="shared" si="3"/>
        <v>0.08</v>
      </c>
      <c r="N30" s="189"/>
    </row>
    <row r="31" spans="1:14">
      <c r="A31" s="80"/>
      <c r="B31" s="80"/>
      <c r="D31" s="86" t="s">
        <v>119</v>
      </c>
      <c r="G31" s="82" t="s">
        <v>252</v>
      </c>
      <c r="I31" s="74" t="s">
        <v>11</v>
      </c>
      <c r="J31" s="151">
        <v>1.9166666666666667</v>
      </c>
      <c r="K31" s="83">
        <v>46</v>
      </c>
      <c r="L31" s="34">
        <f t="shared" si="2"/>
        <v>52.9</v>
      </c>
      <c r="M31" s="59">
        <f t="shared" si="3"/>
        <v>0.31</v>
      </c>
      <c r="N31" s="188"/>
    </row>
    <row r="32" spans="1:14">
      <c r="A32" s="73" t="s">
        <v>594</v>
      </c>
      <c r="B32" s="73" t="s">
        <v>595</v>
      </c>
      <c r="C32" s="85">
        <v>43922</v>
      </c>
      <c r="D32" s="86" t="s">
        <v>119</v>
      </c>
      <c r="E32" s="86" t="s">
        <v>252</v>
      </c>
      <c r="F32" s="86"/>
      <c r="I32" s="73" t="s">
        <v>294</v>
      </c>
      <c r="J32" s="87">
        <v>0.2</v>
      </c>
      <c r="K32" s="88">
        <v>34.5</v>
      </c>
      <c r="L32" s="34">
        <f t="shared" si="2"/>
        <v>4.1399999999999997</v>
      </c>
      <c r="M32" s="59">
        <f t="shared" si="3"/>
        <v>0.02</v>
      </c>
      <c r="N32" s="188"/>
    </row>
    <row r="33" spans="1:14">
      <c r="A33" s="73" t="s">
        <v>594</v>
      </c>
      <c r="B33" s="73" t="s">
        <v>595</v>
      </c>
      <c r="C33" s="85">
        <v>43922</v>
      </c>
      <c r="D33" s="86" t="s">
        <v>119</v>
      </c>
      <c r="F33" s="86" t="s">
        <v>252</v>
      </c>
      <c r="I33" s="73" t="s">
        <v>294</v>
      </c>
      <c r="J33" s="87">
        <v>0.2</v>
      </c>
      <c r="K33" s="92">
        <v>11.5</v>
      </c>
      <c r="L33" s="34">
        <f t="shared" si="2"/>
        <v>2.76</v>
      </c>
      <c r="M33" s="59">
        <f t="shared" si="3"/>
        <v>0.02</v>
      </c>
      <c r="N33" s="188"/>
    </row>
    <row r="34" spans="1:14">
      <c r="A34" s="80"/>
      <c r="B34" s="80"/>
      <c r="D34" s="86" t="s">
        <v>119</v>
      </c>
      <c r="G34" s="82" t="s">
        <v>252</v>
      </c>
      <c r="I34" s="74" t="s">
        <v>294</v>
      </c>
      <c r="J34" s="151">
        <v>0.83333333333333326</v>
      </c>
      <c r="K34" s="83">
        <v>46</v>
      </c>
      <c r="N34" s="188"/>
    </row>
    <row r="35" spans="1:14">
      <c r="A35" s="73" t="s">
        <v>592</v>
      </c>
      <c r="B35" s="73" t="s">
        <v>593</v>
      </c>
      <c r="C35" s="85">
        <v>44013</v>
      </c>
      <c r="D35" s="86" t="s">
        <v>119</v>
      </c>
      <c r="E35" s="86" t="s">
        <v>252</v>
      </c>
      <c r="F35" s="86"/>
      <c r="I35" s="73" t="s">
        <v>130</v>
      </c>
      <c r="J35" s="87">
        <v>0.5</v>
      </c>
      <c r="K35" s="88">
        <v>23</v>
      </c>
      <c r="L35" s="34">
        <f t="shared" ref="L35:L60" si="4">IF($D35="FT",1,0.5)*(wPC*IF($E35="Y",1,0) +wPT*IF($F35="Y",1,0) + wMT*IF($G35="Y",1,0) + wHT*IF($H35="Y",1,0))*$J35*$K35</f>
        <v>6.8999999999999995</v>
      </c>
      <c r="M35" s="59">
        <f t="shared" ref="M35:M60" si="5">ROUND($L35/172.5,2)</f>
        <v>0.04</v>
      </c>
      <c r="N35" s="188"/>
    </row>
    <row r="36" spans="1:14">
      <c r="A36" s="73" t="s">
        <v>592</v>
      </c>
      <c r="B36" s="73" t="s">
        <v>593</v>
      </c>
      <c r="C36" s="85">
        <v>44013</v>
      </c>
      <c r="D36" s="86" t="s">
        <v>119</v>
      </c>
      <c r="F36" s="86" t="s">
        <v>252</v>
      </c>
      <c r="I36" s="73" t="s">
        <v>130</v>
      </c>
      <c r="J36" s="87">
        <v>0.5</v>
      </c>
      <c r="K36" s="88">
        <v>23</v>
      </c>
      <c r="L36" s="34">
        <f t="shared" si="4"/>
        <v>13.799999999999999</v>
      </c>
      <c r="M36" s="59">
        <f t="shared" si="5"/>
        <v>0.08</v>
      </c>
      <c r="N36" s="188"/>
    </row>
    <row r="37" spans="1:14">
      <c r="A37" s="73" t="s">
        <v>610</v>
      </c>
      <c r="B37" s="73" t="s">
        <v>611</v>
      </c>
      <c r="C37" s="85">
        <v>43831</v>
      </c>
      <c r="D37" s="86" t="s">
        <v>119</v>
      </c>
      <c r="F37" s="86" t="s">
        <v>252</v>
      </c>
      <c r="I37" s="73" t="s">
        <v>130</v>
      </c>
      <c r="J37" s="87">
        <v>0.5</v>
      </c>
      <c r="K37" s="88">
        <v>46</v>
      </c>
      <c r="L37" s="34">
        <f t="shared" si="4"/>
        <v>27.599999999999998</v>
      </c>
      <c r="M37" s="59">
        <f t="shared" si="5"/>
        <v>0.16</v>
      </c>
      <c r="N37" s="188"/>
    </row>
    <row r="38" spans="1:14">
      <c r="A38" s="80"/>
      <c r="B38" s="80"/>
      <c r="D38" s="86" t="s">
        <v>119</v>
      </c>
      <c r="G38" s="82" t="s">
        <v>252</v>
      </c>
      <c r="I38" s="74" t="s">
        <v>130</v>
      </c>
      <c r="J38" s="152">
        <v>1.5833333333333333</v>
      </c>
      <c r="K38" s="83">
        <v>46</v>
      </c>
      <c r="L38" s="34">
        <f t="shared" si="4"/>
        <v>43.699999999999996</v>
      </c>
      <c r="M38" s="59">
        <f t="shared" si="5"/>
        <v>0.25</v>
      </c>
      <c r="N38" s="188"/>
    </row>
    <row r="39" spans="1:14">
      <c r="C39" s="91"/>
      <c r="D39" s="86" t="s">
        <v>119</v>
      </c>
      <c r="G39" s="82" t="s">
        <v>252</v>
      </c>
      <c r="I39" s="74" t="s">
        <v>121</v>
      </c>
      <c r="J39" s="150">
        <v>1.5416666666666667</v>
      </c>
      <c r="K39" s="83">
        <v>46</v>
      </c>
      <c r="L39" s="34">
        <f t="shared" si="4"/>
        <v>42.550000000000004</v>
      </c>
      <c r="M39" s="59">
        <f t="shared" si="5"/>
        <v>0.25</v>
      </c>
      <c r="N39" s="188"/>
    </row>
    <row r="40" spans="1:14">
      <c r="A40" s="73" t="s">
        <v>774</v>
      </c>
      <c r="B40" s="73" t="s">
        <v>775</v>
      </c>
      <c r="C40" s="85">
        <v>43741</v>
      </c>
      <c r="D40" s="86" t="s">
        <v>119</v>
      </c>
      <c r="E40" s="86"/>
      <c r="F40" s="86" t="s">
        <v>252</v>
      </c>
      <c r="I40" s="73" t="s">
        <v>295</v>
      </c>
      <c r="J40" s="87">
        <v>0.2</v>
      </c>
      <c r="K40" s="88">
        <v>46</v>
      </c>
      <c r="L40" s="34">
        <f t="shared" si="4"/>
        <v>11.04</v>
      </c>
      <c r="M40" s="59">
        <f t="shared" si="5"/>
        <v>0.06</v>
      </c>
      <c r="N40" s="188"/>
    </row>
    <row r="41" spans="1:14">
      <c r="C41" s="91"/>
      <c r="D41" s="86" t="s">
        <v>119</v>
      </c>
      <c r="G41" s="82" t="s">
        <v>252</v>
      </c>
      <c r="I41" s="74" t="s">
        <v>295</v>
      </c>
      <c r="J41" s="150">
        <v>0.5</v>
      </c>
      <c r="K41" s="83">
        <v>46</v>
      </c>
      <c r="L41" s="34">
        <f t="shared" si="4"/>
        <v>13.799999999999999</v>
      </c>
      <c r="M41" s="59">
        <f t="shared" si="5"/>
        <v>0.08</v>
      </c>
      <c r="N41" s="188"/>
    </row>
    <row r="42" spans="1:14">
      <c r="A42" s="80"/>
      <c r="B42" s="80"/>
      <c r="D42" s="86" t="s">
        <v>119</v>
      </c>
      <c r="G42" s="82" t="s">
        <v>252</v>
      </c>
      <c r="H42" s="39"/>
      <c r="I42" s="74" t="s">
        <v>12</v>
      </c>
      <c r="J42" s="153">
        <v>0.75</v>
      </c>
      <c r="K42" s="83">
        <v>46</v>
      </c>
      <c r="L42" s="34">
        <f t="shared" si="4"/>
        <v>20.7</v>
      </c>
      <c r="M42" s="59">
        <f t="shared" si="5"/>
        <v>0.12</v>
      </c>
      <c r="N42" s="188"/>
    </row>
    <row r="43" spans="1:14">
      <c r="A43" s="80"/>
      <c r="B43" s="80"/>
      <c r="D43" s="86" t="s">
        <v>119</v>
      </c>
      <c r="G43" s="82" t="s">
        <v>252</v>
      </c>
      <c r="I43" s="74" t="s">
        <v>131</v>
      </c>
      <c r="J43" s="150">
        <v>1.1666666666666665</v>
      </c>
      <c r="K43" s="83">
        <v>46</v>
      </c>
      <c r="L43" s="34">
        <f t="shared" si="4"/>
        <v>32.199999999999996</v>
      </c>
      <c r="M43" s="59">
        <f t="shared" si="5"/>
        <v>0.19</v>
      </c>
      <c r="N43" s="188"/>
    </row>
    <row r="44" spans="1:14" ht="30">
      <c r="A44" s="137" t="s">
        <v>799</v>
      </c>
      <c r="B44" s="137" t="s">
        <v>800</v>
      </c>
      <c r="C44" s="85">
        <v>43647</v>
      </c>
      <c r="D44" s="86" t="s">
        <v>119</v>
      </c>
      <c r="F44" s="86" t="s">
        <v>252</v>
      </c>
      <c r="I44" s="74" t="s">
        <v>13</v>
      </c>
      <c r="J44" s="87">
        <v>0.3</v>
      </c>
      <c r="K44" s="88">
        <v>46</v>
      </c>
      <c r="L44" s="34">
        <f t="shared" si="4"/>
        <v>16.559999999999999</v>
      </c>
      <c r="M44" s="59">
        <f t="shared" si="5"/>
        <v>0.1</v>
      </c>
      <c r="N44" s="188"/>
    </row>
    <row r="45" spans="1:14">
      <c r="A45" s="80"/>
      <c r="B45" s="80"/>
      <c r="D45" s="86" t="s">
        <v>119</v>
      </c>
      <c r="G45" s="82" t="s">
        <v>252</v>
      </c>
      <c r="I45" s="74" t="s">
        <v>13</v>
      </c>
      <c r="J45" s="150">
        <v>0.33333333333333331</v>
      </c>
      <c r="K45" s="83">
        <v>46</v>
      </c>
      <c r="L45" s="34">
        <f t="shared" si="4"/>
        <v>9.1999999999999993</v>
      </c>
      <c r="M45" s="59">
        <f t="shared" si="5"/>
        <v>0.05</v>
      </c>
      <c r="N45" s="188"/>
    </row>
    <row r="46" spans="1:14">
      <c r="A46" s="52" t="s">
        <v>631</v>
      </c>
      <c r="B46" s="44" t="s">
        <v>632</v>
      </c>
      <c r="C46" s="55">
        <v>43282</v>
      </c>
      <c r="D46" s="86" t="s">
        <v>119</v>
      </c>
      <c r="F46" s="56" t="s">
        <v>252</v>
      </c>
      <c r="I46" s="57" t="s">
        <v>14</v>
      </c>
      <c r="J46" s="45">
        <v>0.3</v>
      </c>
      <c r="K46" s="45">
        <v>46</v>
      </c>
      <c r="L46" s="34">
        <f t="shared" si="4"/>
        <v>16.559999999999999</v>
      </c>
      <c r="M46" s="59">
        <f t="shared" si="5"/>
        <v>0.1</v>
      </c>
      <c r="N46" s="188"/>
    </row>
    <row r="47" spans="1:14">
      <c r="A47" s="73" t="s">
        <v>594</v>
      </c>
      <c r="B47" s="73" t="s">
        <v>595</v>
      </c>
      <c r="C47" s="85">
        <v>43922</v>
      </c>
      <c r="D47" s="86" t="s">
        <v>119</v>
      </c>
      <c r="E47" s="86" t="s">
        <v>252</v>
      </c>
      <c r="F47" s="86"/>
      <c r="I47" s="73" t="s">
        <v>14</v>
      </c>
      <c r="J47" s="87">
        <v>0.2</v>
      </c>
      <c r="K47" s="88">
        <v>46</v>
      </c>
      <c r="L47" s="34">
        <f t="shared" si="4"/>
        <v>5.52</v>
      </c>
      <c r="M47" s="59">
        <f t="shared" si="5"/>
        <v>0.03</v>
      </c>
      <c r="N47" s="188"/>
    </row>
    <row r="48" spans="1:14">
      <c r="A48" s="73" t="s">
        <v>594</v>
      </c>
      <c r="B48" s="73" t="s">
        <v>595</v>
      </c>
      <c r="C48" s="85">
        <v>43922</v>
      </c>
      <c r="D48" s="86" t="s">
        <v>119</v>
      </c>
      <c r="F48" s="86" t="s">
        <v>252</v>
      </c>
      <c r="I48" s="73" t="s">
        <v>14</v>
      </c>
      <c r="J48" s="87">
        <v>0.2</v>
      </c>
      <c r="K48" s="92">
        <v>11.5</v>
      </c>
      <c r="L48" s="34">
        <f t="shared" si="4"/>
        <v>2.76</v>
      </c>
      <c r="M48" s="59">
        <f t="shared" si="5"/>
        <v>0.02</v>
      </c>
      <c r="N48" s="188"/>
    </row>
    <row r="49" spans="1:14">
      <c r="A49" s="80"/>
      <c r="B49" s="80"/>
      <c r="D49" s="86" t="s">
        <v>119</v>
      </c>
      <c r="G49" s="82" t="s">
        <v>252</v>
      </c>
      <c r="I49" s="74" t="s">
        <v>14</v>
      </c>
      <c r="J49" s="150">
        <v>0.66666666666666663</v>
      </c>
      <c r="K49" s="83">
        <v>46</v>
      </c>
      <c r="L49" s="34">
        <f t="shared" si="4"/>
        <v>18.399999999999999</v>
      </c>
      <c r="M49" s="59">
        <f t="shared" si="5"/>
        <v>0.11</v>
      </c>
      <c r="N49" s="188"/>
    </row>
    <row r="50" spans="1:14">
      <c r="A50" s="73" t="s">
        <v>598</v>
      </c>
      <c r="B50" s="73" t="s">
        <v>599</v>
      </c>
      <c r="C50" s="85">
        <v>43831</v>
      </c>
      <c r="D50" s="86" t="s">
        <v>119</v>
      </c>
      <c r="F50" s="86" t="s">
        <v>252</v>
      </c>
      <c r="I50" s="163" t="s">
        <v>806</v>
      </c>
      <c r="J50" s="87">
        <v>0.2</v>
      </c>
      <c r="K50" s="88">
        <v>46</v>
      </c>
      <c r="L50" s="34">
        <f t="shared" si="4"/>
        <v>11.04</v>
      </c>
      <c r="M50" s="59">
        <f t="shared" si="5"/>
        <v>0.06</v>
      </c>
      <c r="N50" s="188"/>
    </row>
    <row r="51" spans="1:14">
      <c r="A51" s="52" t="s">
        <v>626</v>
      </c>
      <c r="B51" s="44" t="s">
        <v>639</v>
      </c>
      <c r="C51" s="55">
        <v>43101</v>
      </c>
      <c r="D51" s="56" t="s">
        <v>119</v>
      </c>
      <c r="E51" s="56"/>
      <c r="F51" s="56" t="s">
        <v>252</v>
      </c>
      <c r="I51" s="57" t="s">
        <v>806</v>
      </c>
      <c r="J51" s="45">
        <v>0.2</v>
      </c>
      <c r="K51" s="45">
        <v>46</v>
      </c>
      <c r="L51" s="34">
        <f t="shared" si="4"/>
        <v>11.04</v>
      </c>
      <c r="M51" s="59">
        <f t="shared" si="5"/>
        <v>0.06</v>
      </c>
      <c r="N51" s="188"/>
    </row>
    <row r="52" spans="1:14">
      <c r="A52" s="52" t="s">
        <v>618</v>
      </c>
      <c r="B52" s="44" t="s">
        <v>619</v>
      </c>
      <c r="C52" s="55">
        <v>43466</v>
      </c>
      <c r="D52" s="86" t="s">
        <v>119</v>
      </c>
      <c r="F52" s="56" t="s">
        <v>252</v>
      </c>
      <c r="I52" s="57" t="s">
        <v>132</v>
      </c>
      <c r="J52" s="45">
        <v>0.4</v>
      </c>
      <c r="K52" s="45">
        <v>46</v>
      </c>
      <c r="L52" s="34">
        <f t="shared" si="4"/>
        <v>22.08</v>
      </c>
      <c r="M52" s="59">
        <f t="shared" si="5"/>
        <v>0.13</v>
      </c>
      <c r="N52" s="188"/>
    </row>
    <row r="53" spans="1:14">
      <c r="A53" s="73" t="s">
        <v>608</v>
      </c>
      <c r="B53" s="73" t="s">
        <v>609</v>
      </c>
      <c r="C53" s="85">
        <v>43831</v>
      </c>
      <c r="D53" s="86" t="s">
        <v>119</v>
      </c>
      <c r="F53" s="86" t="s">
        <v>252</v>
      </c>
      <c r="I53" s="73" t="s">
        <v>132</v>
      </c>
      <c r="J53" s="87">
        <v>0.6</v>
      </c>
      <c r="K53" s="88">
        <v>46</v>
      </c>
      <c r="L53" s="34">
        <f t="shared" si="4"/>
        <v>33.119999999999997</v>
      </c>
      <c r="M53" s="59">
        <f t="shared" si="5"/>
        <v>0.19</v>
      </c>
      <c r="N53" s="188"/>
    </row>
    <row r="54" spans="1:14">
      <c r="A54" s="73" t="s">
        <v>612</v>
      </c>
      <c r="B54" s="73" t="s">
        <v>613</v>
      </c>
      <c r="C54" s="85">
        <v>43831</v>
      </c>
      <c r="D54" s="86" t="s">
        <v>119</v>
      </c>
      <c r="F54" s="86" t="s">
        <v>252</v>
      </c>
      <c r="I54" s="73" t="s">
        <v>132</v>
      </c>
      <c r="J54" s="87">
        <v>0.4</v>
      </c>
      <c r="K54" s="88">
        <v>46</v>
      </c>
      <c r="L54" s="34">
        <f t="shared" si="4"/>
        <v>22.08</v>
      </c>
      <c r="M54" s="59">
        <f t="shared" si="5"/>
        <v>0.13</v>
      </c>
      <c r="N54" s="188"/>
    </row>
    <row r="55" spans="1:14">
      <c r="A55" s="80"/>
      <c r="B55" s="80"/>
      <c r="D55" s="86" t="s">
        <v>119</v>
      </c>
      <c r="G55" s="82" t="s">
        <v>252</v>
      </c>
      <c r="H55" s="39"/>
      <c r="I55" s="74" t="s">
        <v>132</v>
      </c>
      <c r="J55" s="150">
        <v>2.25</v>
      </c>
      <c r="K55" s="83">
        <v>46</v>
      </c>
      <c r="L55" s="34">
        <f t="shared" si="4"/>
        <v>62.099999999999994</v>
      </c>
      <c r="M55" s="59">
        <f t="shared" si="5"/>
        <v>0.36</v>
      </c>
      <c r="N55" s="189"/>
    </row>
    <row r="56" spans="1:14">
      <c r="A56" s="73" t="s">
        <v>600</v>
      </c>
      <c r="B56" s="73" t="s">
        <v>601</v>
      </c>
      <c r="C56" s="85">
        <v>43831</v>
      </c>
      <c r="D56" s="86" t="s">
        <v>119</v>
      </c>
      <c r="F56" s="86" t="s">
        <v>252</v>
      </c>
      <c r="I56" s="73" t="s">
        <v>15</v>
      </c>
      <c r="J56" s="87">
        <v>1</v>
      </c>
      <c r="K56" s="88">
        <v>46</v>
      </c>
      <c r="L56" s="34">
        <f t="shared" si="4"/>
        <v>55.199999999999996</v>
      </c>
      <c r="M56" s="59">
        <f t="shared" si="5"/>
        <v>0.32</v>
      </c>
      <c r="N56" s="188"/>
    </row>
    <row r="57" spans="1:14">
      <c r="C57" s="91"/>
      <c r="D57" s="86" t="s">
        <v>119</v>
      </c>
      <c r="G57" s="82" t="s">
        <v>252</v>
      </c>
      <c r="I57" s="74" t="s">
        <v>15</v>
      </c>
      <c r="J57" s="150">
        <v>0.91666666666666674</v>
      </c>
      <c r="K57" s="83">
        <v>46</v>
      </c>
      <c r="L57" s="34">
        <f t="shared" si="4"/>
        <v>25.3</v>
      </c>
      <c r="M57" s="59">
        <f t="shared" si="5"/>
        <v>0.15</v>
      </c>
      <c r="N57" s="188"/>
    </row>
    <row r="58" spans="1:14">
      <c r="A58" s="52" t="s">
        <v>635</v>
      </c>
      <c r="B58" s="44" t="s">
        <v>636</v>
      </c>
      <c r="C58" s="55">
        <v>43101</v>
      </c>
      <c r="D58" s="86" t="s">
        <v>119</v>
      </c>
      <c r="E58" s="45" t="s">
        <v>252</v>
      </c>
      <c r="F58" s="56"/>
      <c r="I58" s="57" t="s">
        <v>171</v>
      </c>
      <c r="J58" s="45">
        <v>0.2</v>
      </c>
      <c r="K58" s="56">
        <v>23</v>
      </c>
      <c r="L58" s="34">
        <f t="shared" si="4"/>
        <v>2.76</v>
      </c>
      <c r="M58" s="59">
        <f t="shared" si="5"/>
        <v>0.02</v>
      </c>
      <c r="N58" s="188"/>
    </row>
    <row r="59" spans="1:14">
      <c r="A59" s="52" t="s">
        <v>635</v>
      </c>
      <c r="B59" s="44" t="s">
        <v>636</v>
      </c>
      <c r="C59" s="55">
        <v>43101</v>
      </c>
      <c r="D59" s="86" t="s">
        <v>119</v>
      </c>
      <c r="F59" s="45" t="s">
        <v>252</v>
      </c>
      <c r="I59" s="57" t="s">
        <v>171</v>
      </c>
      <c r="J59" s="45">
        <v>0.2</v>
      </c>
      <c r="K59" s="56">
        <v>23</v>
      </c>
      <c r="L59" s="34">
        <f t="shared" si="4"/>
        <v>5.52</v>
      </c>
      <c r="M59" s="59">
        <f t="shared" si="5"/>
        <v>0.03</v>
      </c>
      <c r="N59" s="188"/>
    </row>
    <row r="60" spans="1:14">
      <c r="A60" s="52" t="s">
        <v>629</v>
      </c>
      <c r="B60" s="44" t="s">
        <v>630</v>
      </c>
      <c r="C60" s="55">
        <v>43451</v>
      </c>
      <c r="D60" s="86" t="s">
        <v>119</v>
      </c>
      <c r="E60" s="56"/>
      <c r="F60" s="56" t="s">
        <v>252</v>
      </c>
      <c r="I60" s="57" t="s">
        <v>171</v>
      </c>
      <c r="J60" s="45">
        <v>0.1</v>
      </c>
      <c r="K60" s="45">
        <v>46</v>
      </c>
      <c r="L60" s="34">
        <f t="shared" si="4"/>
        <v>5.52</v>
      </c>
      <c r="M60" s="59">
        <f t="shared" si="5"/>
        <v>0.03</v>
      </c>
      <c r="N60" s="188"/>
    </row>
    <row r="61" spans="1:14">
      <c r="C61" s="91"/>
      <c r="D61" s="86" t="s">
        <v>119</v>
      </c>
      <c r="G61" s="82" t="s">
        <v>252</v>
      </c>
      <c r="I61" s="74" t="s">
        <v>171</v>
      </c>
      <c r="J61" s="150">
        <v>0.16666666666666666</v>
      </c>
      <c r="K61" s="83">
        <v>46</v>
      </c>
      <c r="N61" s="188"/>
    </row>
    <row r="62" spans="1:14">
      <c r="A62" s="52" t="s">
        <v>622</v>
      </c>
      <c r="B62" s="44" t="s">
        <v>623</v>
      </c>
      <c r="C62" s="55">
        <v>43466</v>
      </c>
      <c r="D62" s="86" t="s">
        <v>119</v>
      </c>
      <c r="E62" s="56"/>
      <c r="F62" s="56" t="s">
        <v>252</v>
      </c>
      <c r="I62" s="57" t="s">
        <v>135</v>
      </c>
      <c r="J62" s="45">
        <v>0.4</v>
      </c>
      <c r="K62" s="45">
        <v>46</v>
      </c>
      <c r="L62" s="34">
        <f t="shared" ref="L62:L75" si="6">IF($D62="FT",1,0.5)*(wPC*IF($E62="Y",1,0) +wPT*IF($F62="Y",1,0) + wMT*IF($G62="Y",1,0) + wHT*IF($H62="Y",1,0))*$J62*$K62</f>
        <v>22.08</v>
      </c>
      <c r="M62" s="59">
        <f t="shared" ref="M62:M75" si="7">ROUND($L62/172.5,2)</f>
        <v>0.13</v>
      </c>
      <c r="N62" s="188"/>
    </row>
    <row r="63" spans="1:14">
      <c r="A63" s="73" t="s">
        <v>604</v>
      </c>
      <c r="B63" s="73" t="s">
        <v>605</v>
      </c>
      <c r="C63" s="85">
        <v>43831</v>
      </c>
      <c r="D63" s="86" t="s">
        <v>119</v>
      </c>
      <c r="F63" s="86" t="s">
        <v>252</v>
      </c>
      <c r="I63" s="73" t="s">
        <v>135</v>
      </c>
      <c r="J63" s="87">
        <v>0.5</v>
      </c>
      <c r="K63" s="88">
        <v>46</v>
      </c>
      <c r="L63" s="34">
        <f t="shared" si="6"/>
        <v>27.599999999999998</v>
      </c>
      <c r="M63" s="59">
        <f t="shared" si="7"/>
        <v>0.16</v>
      </c>
      <c r="N63" s="188"/>
    </row>
    <row r="64" spans="1:14">
      <c r="A64" s="80"/>
      <c r="B64" s="80"/>
      <c r="D64" s="86" t="s">
        <v>119</v>
      </c>
      <c r="G64" s="82" t="s">
        <v>252</v>
      </c>
      <c r="I64" s="74" t="s">
        <v>135</v>
      </c>
      <c r="J64" s="170">
        <v>3.0833333333333335</v>
      </c>
      <c r="K64" s="83">
        <v>46</v>
      </c>
      <c r="L64" s="34">
        <f t="shared" si="6"/>
        <v>85.100000000000009</v>
      </c>
      <c r="M64" s="59">
        <f t="shared" si="7"/>
        <v>0.49</v>
      </c>
      <c r="N64" s="188"/>
    </row>
    <row r="65" spans="1:14">
      <c r="A65" s="73" t="s">
        <v>774</v>
      </c>
      <c r="B65" s="73" t="s">
        <v>775</v>
      </c>
      <c r="C65" s="85">
        <v>43741</v>
      </c>
      <c r="D65" s="86" t="s">
        <v>119</v>
      </c>
      <c r="E65" s="86"/>
      <c r="F65" s="86" t="s">
        <v>252</v>
      </c>
      <c r="I65" s="73" t="s">
        <v>16</v>
      </c>
      <c r="J65" s="87">
        <v>0.2</v>
      </c>
      <c r="K65" s="88">
        <v>46</v>
      </c>
      <c r="L65" s="34">
        <f t="shared" si="6"/>
        <v>11.04</v>
      </c>
      <c r="M65" s="59">
        <f t="shared" si="7"/>
        <v>0.06</v>
      </c>
      <c r="N65" s="188"/>
    </row>
    <row r="66" spans="1:14">
      <c r="A66" s="90" t="s">
        <v>770</v>
      </c>
      <c r="B66" s="90" t="s">
        <v>771</v>
      </c>
      <c r="C66" s="94">
        <v>44197</v>
      </c>
      <c r="D66" s="82" t="s">
        <v>119</v>
      </c>
      <c r="E66" s="82" t="s">
        <v>252</v>
      </c>
      <c r="I66" s="95" t="s">
        <v>16</v>
      </c>
      <c r="J66" s="70">
        <v>0</v>
      </c>
      <c r="K66" s="82">
        <v>46</v>
      </c>
      <c r="L66" s="34">
        <f t="shared" si="6"/>
        <v>0</v>
      </c>
      <c r="M66" s="59">
        <f t="shared" si="7"/>
        <v>0</v>
      </c>
      <c r="N66" s="188" t="s">
        <v>650</v>
      </c>
    </row>
    <row r="67" spans="1:14">
      <c r="A67" s="73" t="s">
        <v>590</v>
      </c>
      <c r="B67" s="73" t="s">
        <v>591</v>
      </c>
      <c r="C67" s="85">
        <v>44013</v>
      </c>
      <c r="D67" s="86" t="s">
        <v>119</v>
      </c>
      <c r="E67" s="86" t="s">
        <v>252</v>
      </c>
      <c r="F67" s="86"/>
      <c r="I67" s="73" t="s">
        <v>16</v>
      </c>
      <c r="J67" s="87">
        <v>0.6</v>
      </c>
      <c r="K67" s="88">
        <v>23</v>
      </c>
      <c r="L67" s="34">
        <f t="shared" si="6"/>
        <v>8.2799999999999994</v>
      </c>
      <c r="M67" s="59">
        <f t="shared" si="7"/>
        <v>0.05</v>
      </c>
      <c r="N67" s="188"/>
    </row>
    <row r="68" spans="1:14">
      <c r="A68" s="73" t="s">
        <v>590</v>
      </c>
      <c r="B68" s="73" t="s">
        <v>591</v>
      </c>
      <c r="C68" s="85">
        <v>44013</v>
      </c>
      <c r="D68" s="86" t="s">
        <v>119</v>
      </c>
      <c r="F68" s="86" t="s">
        <v>252</v>
      </c>
      <c r="I68" s="73" t="s">
        <v>16</v>
      </c>
      <c r="J68" s="87">
        <v>0.6</v>
      </c>
      <c r="K68" s="88">
        <v>23</v>
      </c>
      <c r="L68" s="34">
        <f t="shared" si="6"/>
        <v>16.559999999999999</v>
      </c>
      <c r="M68" s="59">
        <f t="shared" si="7"/>
        <v>0.1</v>
      </c>
      <c r="N68" s="188"/>
    </row>
    <row r="69" spans="1:14">
      <c r="A69" s="90" t="s">
        <v>766</v>
      </c>
      <c r="B69" s="90" t="s">
        <v>767</v>
      </c>
      <c r="C69" s="94">
        <v>44197</v>
      </c>
      <c r="D69" s="82" t="s">
        <v>119</v>
      </c>
      <c r="E69" s="82" t="s">
        <v>252</v>
      </c>
      <c r="I69" s="95" t="s">
        <v>16</v>
      </c>
      <c r="J69" s="70">
        <v>0</v>
      </c>
      <c r="K69" s="82">
        <v>46</v>
      </c>
      <c r="L69" s="34">
        <f t="shared" si="6"/>
        <v>0</v>
      </c>
      <c r="M69" s="59">
        <f t="shared" si="7"/>
        <v>0</v>
      </c>
      <c r="N69" s="188" t="s">
        <v>650</v>
      </c>
    </row>
    <row r="70" spans="1:14">
      <c r="A70" s="90" t="s">
        <v>768</v>
      </c>
      <c r="B70" s="90" t="s">
        <v>769</v>
      </c>
      <c r="C70" s="94">
        <v>44197</v>
      </c>
      <c r="D70" s="82" t="s">
        <v>119</v>
      </c>
      <c r="E70" s="82" t="s">
        <v>252</v>
      </c>
      <c r="I70" s="95" t="s">
        <v>16</v>
      </c>
      <c r="J70" s="70">
        <v>0</v>
      </c>
      <c r="K70" s="82">
        <v>46</v>
      </c>
      <c r="L70" s="34">
        <f t="shared" si="6"/>
        <v>0</v>
      </c>
      <c r="M70" s="59">
        <f t="shared" si="7"/>
        <v>0</v>
      </c>
      <c r="N70" s="188" t="s">
        <v>650</v>
      </c>
    </row>
    <row r="71" spans="1:14">
      <c r="A71" s="52" t="s">
        <v>626</v>
      </c>
      <c r="B71" s="44" t="s">
        <v>627</v>
      </c>
      <c r="C71" s="55">
        <v>43466</v>
      </c>
      <c r="D71" s="56" t="s">
        <v>119</v>
      </c>
      <c r="F71" s="56" t="s">
        <v>252</v>
      </c>
      <c r="I71" s="57" t="s">
        <v>16</v>
      </c>
      <c r="J71" s="45">
        <v>0.5</v>
      </c>
      <c r="K71" s="45">
        <v>46</v>
      </c>
      <c r="L71" s="34">
        <f t="shared" si="6"/>
        <v>27.599999999999998</v>
      </c>
      <c r="M71" s="59">
        <f t="shared" si="7"/>
        <v>0.16</v>
      </c>
      <c r="N71" s="188"/>
    </row>
    <row r="72" spans="1:14">
      <c r="A72" s="90" t="s">
        <v>772</v>
      </c>
      <c r="B72" s="90" t="s">
        <v>773</v>
      </c>
      <c r="C72" s="94">
        <v>44197</v>
      </c>
      <c r="D72" s="82" t="s">
        <v>119</v>
      </c>
      <c r="E72" s="82" t="s">
        <v>252</v>
      </c>
      <c r="I72" s="95" t="s">
        <v>16</v>
      </c>
      <c r="J72" s="70">
        <v>0</v>
      </c>
      <c r="K72" s="82">
        <v>46</v>
      </c>
      <c r="L72" s="34">
        <f t="shared" si="6"/>
        <v>0</v>
      </c>
      <c r="M72" s="59">
        <f t="shared" si="7"/>
        <v>0</v>
      </c>
      <c r="N72" s="188" t="s">
        <v>650</v>
      </c>
    </row>
    <row r="73" spans="1:14">
      <c r="A73" s="80" t="s">
        <v>614</v>
      </c>
      <c r="B73" s="90" t="s">
        <v>615</v>
      </c>
      <c r="C73" s="94">
        <v>43739</v>
      </c>
      <c r="D73" s="82" t="s">
        <v>119</v>
      </c>
      <c r="F73" s="82" t="s">
        <v>252</v>
      </c>
      <c r="I73" s="69" t="s">
        <v>16</v>
      </c>
      <c r="J73" s="70">
        <v>0.25</v>
      </c>
      <c r="K73" s="82">
        <v>46</v>
      </c>
      <c r="L73" s="34">
        <f t="shared" si="6"/>
        <v>13.799999999999999</v>
      </c>
      <c r="M73" s="59">
        <f t="shared" si="7"/>
        <v>0.08</v>
      </c>
      <c r="N73" s="188"/>
    </row>
    <row r="74" spans="1:14">
      <c r="A74" s="73" t="s">
        <v>612</v>
      </c>
      <c r="B74" s="73" t="s">
        <v>613</v>
      </c>
      <c r="C74" s="85">
        <v>43831</v>
      </c>
      <c r="D74" s="86" t="s">
        <v>119</v>
      </c>
      <c r="F74" s="86" t="s">
        <v>252</v>
      </c>
      <c r="I74" s="73" t="s">
        <v>16</v>
      </c>
      <c r="J74" s="87">
        <v>0.2</v>
      </c>
      <c r="K74" s="88">
        <v>46</v>
      </c>
      <c r="L74" s="34">
        <f t="shared" si="6"/>
        <v>11.04</v>
      </c>
      <c r="M74" s="59">
        <f t="shared" si="7"/>
        <v>0.06</v>
      </c>
      <c r="N74" s="188"/>
    </row>
    <row r="75" spans="1:14">
      <c r="A75" s="80"/>
      <c r="B75" s="80"/>
      <c r="D75" s="86" t="s">
        <v>119</v>
      </c>
      <c r="G75" s="82" t="s">
        <v>252</v>
      </c>
      <c r="I75" s="74" t="s">
        <v>16</v>
      </c>
      <c r="J75" s="150">
        <v>0.5</v>
      </c>
      <c r="K75" s="83">
        <v>46</v>
      </c>
      <c r="L75" s="34">
        <f t="shared" si="6"/>
        <v>13.799999999999999</v>
      </c>
      <c r="M75" s="59">
        <f t="shared" si="7"/>
        <v>0.08</v>
      </c>
      <c r="N75" s="188"/>
    </row>
    <row r="76" spans="1:14">
      <c r="A76" s="80"/>
      <c r="B76" s="80"/>
      <c r="D76" s="86" t="s">
        <v>119</v>
      </c>
      <c r="G76" s="82" t="s">
        <v>252</v>
      </c>
      <c r="I76" s="74" t="s">
        <v>134</v>
      </c>
      <c r="J76" s="150">
        <v>0.83333333333333337</v>
      </c>
      <c r="K76" s="83">
        <v>46</v>
      </c>
      <c r="N76" s="188"/>
    </row>
    <row r="77" spans="1:14">
      <c r="A77" s="52" t="s">
        <v>631</v>
      </c>
      <c r="B77" s="44" t="s">
        <v>632</v>
      </c>
      <c r="C77" s="55">
        <v>43282</v>
      </c>
      <c r="D77" s="86" t="s">
        <v>119</v>
      </c>
      <c r="F77" s="56" t="s">
        <v>252</v>
      </c>
      <c r="I77" s="57" t="s">
        <v>127</v>
      </c>
      <c r="J77" s="45">
        <v>0.25</v>
      </c>
      <c r="K77" s="45">
        <v>46</v>
      </c>
      <c r="L77" s="34">
        <f>IF($D77="FT",1,0.5)*(wPC*IF($E77="Y",1,0) +wPT*IF($F77="Y",1,0) + wMT*IF($G77="Y",1,0) + wHT*IF($H77="Y",1,0))*$J77*$K77</f>
        <v>13.799999999999999</v>
      </c>
      <c r="M77" s="59">
        <f>ROUND($L77/172.5,2)</f>
        <v>0.08</v>
      </c>
      <c r="N77" s="188"/>
    </row>
    <row r="78" spans="1:14">
      <c r="A78" s="73" t="s">
        <v>594</v>
      </c>
      <c r="B78" s="73" t="s">
        <v>595</v>
      </c>
      <c r="C78" s="85">
        <v>43922</v>
      </c>
      <c r="D78" s="86" t="s">
        <v>119</v>
      </c>
      <c r="E78" s="86" t="s">
        <v>252</v>
      </c>
      <c r="F78" s="86"/>
      <c r="I78" s="73" t="s">
        <v>127</v>
      </c>
      <c r="J78" s="87">
        <v>0.2</v>
      </c>
      <c r="K78" s="88">
        <v>34.5</v>
      </c>
      <c r="L78" s="34">
        <f>IF($D78="FT",1,0.5)*(wPC*IF($E78="Y",1,0) +wPT*IF($F78="Y",1,0) + wMT*IF($G78="Y",1,0) + wHT*IF($H78="Y",1,0))*$J78*$K78</f>
        <v>4.1399999999999997</v>
      </c>
      <c r="M78" s="59">
        <f>ROUND($L78/172.5,2)</f>
        <v>0.02</v>
      </c>
      <c r="N78" s="188"/>
    </row>
    <row r="79" spans="1:14">
      <c r="A79" s="73" t="s">
        <v>594</v>
      </c>
      <c r="B79" s="73" t="s">
        <v>595</v>
      </c>
      <c r="C79" s="85">
        <v>43922</v>
      </c>
      <c r="D79" s="86" t="s">
        <v>119</v>
      </c>
      <c r="F79" s="86" t="s">
        <v>252</v>
      </c>
      <c r="I79" s="73" t="s">
        <v>127</v>
      </c>
      <c r="J79" s="87">
        <v>0.2</v>
      </c>
      <c r="K79" s="92">
        <v>11.5</v>
      </c>
      <c r="L79" s="34">
        <f>IF($D79="FT",1,0.5)*(wPC*IF($E79="Y",1,0) +wPT*IF($F79="Y",1,0) + wMT*IF($G79="Y",1,0) + wHT*IF($H79="Y",1,0))*$J79*$K79</f>
        <v>2.76</v>
      </c>
      <c r="M79" s="59">
        <f>ROUND($L79/172.5,2)</f>
        <v>0.02</v>
      </c>
      <c r="N79" s="188"/>
    </row>
    <row r="80" spans="1:14">
      <c r="A80" s="80"/>
      <c r="B80" s="80"/>
      <c r="D80" s="86" t="s">
        <v>119</v>
      </c>
      <c r="G80" s="82" t="s">
        <v>252</v>
      </c>
      <c r="I80" s="74" t="s">
        <v>127</v>
      </c>
      <c r="J80" s="150">
        <v>0.16666666666666666</v>
      </c>
      <c r="K80" s="83">
        <v>46</v>
      </c>
      <c r="N80" s="188"/>
    </row>
    <row r="81" spans="1:14">
      <c r="A81" s="90" t="s">
        <v>770</v>
      </c>
      <c r="B81" s="90" t="s">
        <v>771</v>
      </c>
      <c r="C81" s="94">
        <v>44197</v>
      </c>
      <c r="D81" s="86" t="s">
        <v>119</v>
      </c>
      <c r="E81" s="82" t="s">
        <v>252</v>
      </c>
      <c r="I81" s="95" t="s">
        <v>122</v>
      </c>
      <c r="J81" s="70">
        <v>0</v>
      </c>
      <c r="K81" s="82">
        <v>46</v>
      </c>
      <c r="L81" s="34">
        <f t="shared" ref="L81:L114" si="8">IF($D81="FT",1,0.5)*(wPC*IF($E81="Y",1,0) +wPT*IF($F81="Y",1,0) + wMT*IF($G81="Y",1,0) + wHT*IF($H81="Y",1,0))*$J81*$K81</f>
        <v>0</v>
      </c>
      <c r="M81" s="59">
        <f t="shared" ref="M81:M114" si="9">ROUND($L81/172.5,2)</f>
        <v>0</v>
      </c>
      <c r="N81" s="188" t="s">
        <v>650</v>
      </c>
    </row>
    <row r="82" spans="1:14">
      <c r="A82" s="73" t="s">
        <v>590</v>
      </c>
      <c r="B82" s="73" t="s">
        <v>591</v>
      </c>
      <c r="C82" s="85">
        <v>44013</v>
      </c>
      <c r="D82" s="86" t="s">
        <v>119</v>
      </c>
      <c r="E82" s="86" t="s">
        <v>252</v>
      </c>
      <c r="F82" s="86"/>
      <c r="I82" s="73" t="s">
        <v>122</v>
      </c>
      <c r="J82" s="87">
        <v>0.4</v>
      </c>
      <c r="K82" s="88">
        <v>23</v>
      </c>
      <c r="L82" s="34">
        <f t="shared" si="8"/>
        <v>5.52</v>
      </c>
      <c r="M82" s="59">
        <f t="shared" si="9"/>
        <v>0.03</v>
      </c>
      <c r="N82" s="188"/>
    </row>
    <row r="83" spans="1:14">
      <c r="A83" s="73" t="s">
        <v>590</v>
      </c>
      <c r="B83" s="73" t="s">
        <v>591</v>
      </c>
      <c r="C83" s="85">
        <v>44013</v>
      </c>
      <c r="D83" s="86" t="s">
        <v>119</v>
      </c>
      <c r="F83" s="86" t="s">
        <v>252</v>
      </c>
      <c r="I83" s="73" t="s">
        <v>122</v>
      </c>
      <c r="J83" s="87">
        <v>0.4</v>
      </c>
      <c r="K83" s="88">
        <v>23</v>
      </c>
      <c r="L83" s="34">
        <f t="shared" si="8"/>
        <v>11.04</v>
      </c>
      <c r="M83" s="59">
        <f t="shared" si="9"/>
        <v>0.06</v>
      </c>
      <c r="N83" s="188"/>
    </row>
    <row r="84" spans="1:14">
      <c r="A84" s="90" t="s">
        <v>766</v>
      </c>
      <c r="B84" s="90" t="s">
        <v>767</v>
      </c>
      <c r="C84" s="94">
        <v>44197</v>
      </c>
      <c r="D84" s="86" t="s">
        <v>119</v>
      </c>
      <c r="E84" s="82" t="s">
        <v>252</v>
      </c>
      <c r="I84" s="95" t="s">
        <v>122</v>
      </c>
      <c r="J84" s="70">
        <v>0</v>
      </c>
      <c r="K84" s="82">
        <v>46</v>
      </c>
      <c r="L84" s="34">
        <f t="shared" si="8"/>
        <v>0</v>
      </c>
      <c r="M84" s="59">
        <f t="shared" si="9"/>
        <v>0</v>
      </c>
      <c r="N84" s="188" t="s">
        <v>650</v>
      </c>
    </row>
    <row r="85" spans="1:14">
      <c r="A85" s="90" t="s">
        <v>768</v>
      </c>
      <c r="B85" s="90" t="s">
        <v>769</v>
      </c>
      <c r="C85" s="94">
        <v>44197</v>
      </c>
      <c r="D85" s="86" t="s">
        <v>119</v>
      </c>
      <c r="E85" s="82" t="s">
        <v>252</v>
      </c>
      <c r="I85" s="95" t="s">
        <v>122</v>
      </c>
      <c r="J85" s="70">
        <v>0</v>
      </c>
      <c r="K85" s="82">
        <v>46</v>
      </c>
      <c r="L85" s="34">
        <f t="shared" si="8"/>
        <v>0</v>
      </c>
      <c r="M85" s="59">
        <f t="shared" si="9"/>
        <v>0</v>
      </c>
      <c r="N85" s="188" t="s">
        <v>650</v>
      </c>
    </row>
    <row r="86" spans="1:14">
      <c r="A86" s="90" t="s">
        <v>772</v>
      </c>
      <c r="B86" s="90" t="s">
        <v>773</v>
      </c>
      <c r="C86" s="94">
        <v>44197</v>
      </c>
      <c r="D86" s="86" t="s">
        <v>119</v>
      </c>
      <c r="E86" s="82" t="s">
        <v>252</v>
      </c>
      <c r="I86" s="95" t="s">
        <v>122</v>
      </c>
      <c r="J86" s="70">
        <v>0</v>
      </c>
      <c r="K86" s="82">
        <v>46</v>
      </c>
      <c r="L86" s="34">
        <f t="shared" si="8"/>
        <v>0</v>
      </c>
      <c r="M86" s="59">
        <f t="shared" si="9"/>
        <v>0</v>
      </c>
      <c r="N86" s="188" t="s">
        <v>650</v>
      </c>
    </row>
    <row r="87" spans="1:14">
      <c r="A87" s="80"/>
      <c r="B87" s="80"/>
      <c r="D87" s="86" t="s">
        <v>119</v>
      </c>
      <c r="G87" s="82" t="s">
        <v>252</v>
      </c>
      <c r="H87" s="39"/>
      <c r="I87" s="57" t="s">
        <v>122</v>
      </c>
      <c r="J87" s="150">
        <v>0.66666666666666674</v>
      </c>
      <c r="K87" s="83">
        <v>46</v>
      </c>
      <c r="L87" s="34">
        <f t="shared" si="8"/>
        <v>18.400000000000002</v>
      </c>
      <c r="M87" s="59">
        <f t="shared" si="9"/>
        <v>0.11</v>
      </c>
      <c r="N87" s="188"/>
    </row>
    <row r="88" spans="1:14">
      <c r="A88" s="80"/>
      <c r="B88" s="80"/>
      <c r="D88" s="86" t="s">
        <v>119</v>
      </c>
      <c r="G88" s="82" t="s">
        <v>252</v>
      </c>
      <c r="I88" s="74" t="s">
        <v>17</v>
      </c>
      <c r="J88" s="150">
        <v>0.91666666666666663</v>
      </c>
      <c r="K88" s="83">
        <v>46</v>
      </c>
      <c r="L88" s="34">
        <f t="shared" si="8"/>
        <v>25.299999999999997</v>
      </c>
      <c r="M88" s="59">
        <f t="shared" si="9"/>
        <v>0.15</v>
      </c>
      <c r="N88" s="188"/>
    </row>
    <row r="89" spans="1:14">
      <c r="A89" s="90" t="s">
        <v>648</v>
      </c>
      <c r="B89" s="90" t="s">
        <v>649</v>
      </c>
      <c r="C89" s="94">
        <v>44197</v>
      </c>
      <c r="D89" s="82" t="s">
        <v>119</v>
      </c>
      <c r="E89" s="82" t="s">
        <v>252</v>
      </c>
      <c r="I89" s="95" t="s">
        <v>19</v>
      </c>
      <c r="J89" s="70">
        <v>0</v>
      </c>
      <c r="K89" s="82">
        <v>46</v>
      </c>
      <c r="L89" s="34">
        <f t="shared" si="8"/>
        <v>0</v>
      </c>
      <c r="M89" s="59">
        <f t="shared" si="9"/>
        <v>0</v>
      </c>
      <c r="N89" s="188" t="s">
        <v>650</v>
      </c>
    </row>
    <row r="90" spans="1:14">
      <c r="A90" s="73" t="s">
        <v>602</v>
      </c>
      <c r="B90" s="73" t="s">
        <v>603</v>
      </c>
      <c r="C90" s="85">
        <v>43831</v>
      </c>
      <c r="D90" s="86" t="s">
        <v>119</v>
      </c>
      <c r="F90" s="86" t="s">
        <v>252</v>
      </c>
      <c r="I90" s="73" t="s">
        <v>19</v>
      </c>
      <c r="J90" s="87">
        <v>0.5</v>
      </c>
      <c r="K90" s="88">
        <v>46</v>
      </c>
      <c r="L90" s="34">
        <f t="shared" si="8"/>
        <v>27.599999999999998</v>
      </c>
      <c r="M90" s="59">
        <f t="shared" si="9"/>
        <v>0.16</v>
      </c>
      <c r="N90" s="189"/>
    </row>
    <row r="91" spans="1:14">
      <c r="A91" s="73" t="s">
        <v>592</v>
      </c>
      <c r="B91" s="73" t="s">
        <v>593</v>
      </c>
      <c r="C91" s="85">
        <v>44013</v>
      </c>
      <c r="D91" s="86" t="s">
        <v>119</v>
      </c>
      <c r="E91" s="86" t="s">
        <v>252</v>
      </c>
      <c r="F91" s="86"/>
      <c r="I91" s="73" t="s">
        <v>19</v>
      </c>
      <c r="J91" s="87">
        <v>0.5</v>
      </c>
      <c r="K91" s="88">
        <v>23</v>
      </c>
      <c r="L91" s="34">
        <f t="shared" si="8"/>
        <v>6.8999999999999995</v>
      </c>
      <c r="M91" s="59">
        <f t="shared" si="9"/>
        <v>0.04</v>
      </c>
      <c r="N91" s="188"/>
    </row>
    <row r="92" spans="1:14">
      <c r="A92" s="73" t="s">
        <v>592</v>
      </c>
      <c r="B92" s="73" t="s">
        <v>593</v>
      </c>
      <c r="C92" s="85">
        <v>44013</v>
      </c>
      <c r="D92" s="86" t="s">
        <v>119</v>
      </c>
      <c r="F92" s="86" t="s">
        <v>252</v>
      </c>
      <c r="I92" s="73" t="s">
        <v>19</v>
      </c>
      <c r="J92" s="87">
        <v>0.5</v>
      </c>
      <c r="K92" s="88">
        <v>23</v>
      </c>
      <c r="L92" s="34">
        <f t="shared" si="8"/>
        <v>13.799999999999999</v>
      </c>
      <c r="M92" s="59">
        <f t="shared" si="9"/>
        <v>0.08</v>
      </c>
      <c r="N92" s="188"/>
    </row>
    <row r="93" spans="1:14">
      <c r="A93" s="80"/>
      <c r="B93" s="80"/>
      <c r="D93" s="86" t="s">
        <v>119</v>
      </c>
      <c r="G93" s="82" t="s">
        <v>252</v>
      </c>
      <c r="H93" s="39"/>
      <c r="I93" s="74" t="s">
        <v>19</v>
      </c>
      <c r="J93" s="150">
        <v>3.1666666666666665</v>
      </c>
      <c r="K93" s="83">
        <v>46</v>
      </c>
      <c r="L93" s="34">
        <f t="shared" si="8"/>
        <v>87.399999999999991</v>
      </c>
      <c r="M93" s="59">
        <f t="shared" si="9"/>
        <v>0.51</v>
      </c>
      <c r="N93" s="188"/>
    </row>
    <row r="94" spans="1:14">
      <c r="A94" s="73" t="s">
        <v>602</v>
      </c>
      <c r="B94" s="73" t="s">
        <v>603</v>
      </c>
      <c r="C94" s="85">
        <v>43831</v>
      </c>
      <c r="D94" s="86" t="s">
        <v>119</v>
      </c>
      <c r="F94" s="86" t="s">
        <v>252</v>
      </c>
      <c r="I94" s="73" t="s">
        <v>136</v>
      </c>
      <c r="J94" s="87">
        <v>0.5</v>
      </c>
      <c r="K94" s="88">
        <v>46</v>
      </c>
      <c r="L94" s="34">
        <f t="shared" si="8"/>
        <v>27.599999999999998</v>
      </c>
      <c r="M94" s="59">
        <f t="shared" si="9"/>
        <v>0.16</v>
      </c>
      <c r="N94" s="188"/>
    </row>
    <row r="95" spans="1:14">
      <c r="A95" s="52" t="s">
        <v>637</v>
      </c>
      <c r="B95" s="44" t="s">
        <v>638</v>
      </c>
      <c r="C95" s="55">
        <v>43101</v>
      </c>
      <c r="D95" s="86" t="s">
        <v>119</v>
      </c>
      <c r="E95" s="56"/>
      <c r="F95" s="56" t="s">
        <v>252</v>
      </c>
      <c r="I95" s="57" t="s">
        <v>136</v>
      </c>
      <c r="J95" s="45">
        <v>0.2</v>
      </c>
      <c r="K95" s="45">
        <v>46</v>
      </c>
      <c r="L95" s="34">
        <f t="shared" si="8"/>
        <v>11.04</v>
      </c>
      <c r="M95" s="59">
        <f t="shared" si="9"/>
        <v>0.06</v>
      </c>
      <c r="N95" s="188"/>
    </row>
    <row r="96" spans="1:14">
      <c r="A96" s="52" t="s">
        <v>624</v>
      </c>
      <c r="B96" s="44" t="s">
        <v>625</v>
      </c>
      <c r="C96" s="55">
        <v>43466</v>
      </c>
      <c r="D96" s="86" t="s">
        <v>119</v>
      </c>
      <c r="E96" s="56"/>
      <c r="F96" s="56" t="s">
        <v>252</v>
      </c>
      <c r="I96" s="57" t="s">
        <v>136</v>
      </c>
      <c r="J96" s="45">
        <v>0.3</v>
      </c>
      <c r="K96" s="45">
        <v>46</v>
      </c>
      <c r="L96" s="34">
        <f t="shared" si="8"/>
        <v>16.559999999999999</v>
      </c>
      <c r="M96" s="59">
        <f t="shared" si="9"/>
        <v>0.1</v>
      </c>
      <c r="N96" s="188"/>
    </row>
    <row r="97" spans="1:14">
      <c r="A97" s="52" t="s">
        <v>633</v>
      </c>
      <c r="B97" s="44" t="s">
        <v>634</v>
      </c>
      <c r="C97" s="55">
        <v>43191</v>
      </c>
      <c r="D97" s="86" t="s">
        <v>119</v>
      </c>
      <c r="E97" s="56"/>
      <c r="F97" s="56" t="s">
        <v>252</v>
      </c>
      <c r="I97" s="57" t="s">
        <v>136</v>
      </c>
      <c r="J97" s="45">
        <v>0.2</v>
      </c>
      <c r="K97" s="45">
        <v>46</v>
      </c>
      <c r="L97" s="34">
        <f t="shared" si="8"/>
        <v>11.04</v>
      </c>
      <c r="M97" s="59">
        <f t="shared" si="9"/>
        <v>0.06</v>
      </c>
      <c r="N97" s="188"/>
    </row>
    <row r="98" spans="1:14">
      <c r="C98" s="91"/>
      <c r="D98" s="86" t="s">
        <v>119</v>
      </c>
      <c r="G98" s="82" t="s">
        <v>252</v>
      </c>
      <c r="I98" s="74" t="s">
        <v>136</v>
      </c>
      <c r="J98" s="151">
        <v>1.1666666666666665</v>
      </c>
      <c r="K98" s="83">
        <v>46</v>
      </c>
      <c r="L98" s="34">
        <f t="shared" si="8"/>
        <v>32.199999999999996</v>
      </c>
      <c r="M98" s="59">
        <f t="shared" si="9"/>
        <v>0.19</v>
      </c>
      <c r="N98" s="188"/>
    </row>
    <row r="99" spans="1:14">
      <c r="D99" s="86" t="s">
        <v>119</v>
      </c>
      <c r="G99" s="82" t="s">
        <v>252</v>
      </c>
      <c r="I99" s="74" t="s">
        <v>154</v>
      </c>
      <c r="J99" s="150">
        <v>0.5</v>
      </c>
      <c r="K99" s="83">
        <v>46</v>
      </c>
      <c r="L99" s="34">
        <f t="shared" si="8"/>
        <v>13.799999999999999</v>
      </c>
      <c r="M99" s="59">
        <f t="shared" si="9"/>
        <v>0.08</v>
      </c>
      <c r="N99" s="188"/>
    </row>
    <row r="100" spans="1:14">
      <c r="A100" s="73" t="s">
        <v>610</v>
      </c>
      <c r="B100" s="73" t="s">
        <v>611</v>
      </c>
      <c r="C100" s="85">
        <v>43831</v>
      </c>
      <c r="D100" s="86" t="s">
        <v>119</v>
      </c>
      <c r="F100" s="86" t="s">
        <v>252</v>
      </c>
      <c r="I100" s="73" t="s">
        <v>141</v>
      </c>
      <c r="J100" s="87">
        <v>0.5</v>
      </c>
      <c r="K100" s="88">
        <v>46</v>
      </c>
      <c r="L100" s="34">
        <f t="shared" si="8"/>
        <v>27.599999999999998</v>
      </c>
      <c r="M100" s="59">
        <f t="shared" si="9"/>
        <v>0.16</v>
      </c>
      <c r="N100" s="188"/>
    </row>
    <row r="101" spans="1:14">
      <c r="D101" s="86" t="s">
        <v>119</v>
      </c>
      <c r="G101" s="82" t="s">
        <v>252</v>
      </c>
      <c r="I101" s="74" t="s">
        <v>141</v>
      </c>
      <c r="J101" s="150">
        <v>1.1666666666666667</v>
      </c>
      <c r="K101" s="83">
        <v>46</v>
      </c>
      <c r="L101" s="34">
        <f t="shared" si="8"/>
        <v>32.200000000000003</v>
      </c>
      <c r="M101" s="59">
        <f t="shared" si="9"/>
        <v>0.19</v>
      </c>
      <c r="N101" s="188"/>
    </row>
    <row r="102" spans="1:14">
      <c r="A102" s="73" t="s">
        <v>640</v>
      </c>
      <c r="B102" s="73" t="s">
        <v>641</v>
      </c>
      <c r="C102" s="85">
        <v>42578</v>
      </c>
      <c r="D102" s="86" t="s">
        <v>472</v>
      </c>
      <c r="E102" s="86"/>
      <c r="F102" s="86" t="s">
        <v>252</v>
      </c>
      <c r="I102" s="57" t="s">
        <v>137</v>
      </c>
      <c r="J102" s="87">
        <v>0.05</v>
      </c>
      <c r="K102" s="45">
        <v>46</v>
      </c>
      <c r="L102" s="34">
        <f t="shared" si="8"/>
        <v>1.38</v>
      </c>
      <c r="M102" s="59">
        <f t="shared" si="9"/>
        <v>0.01</v>
      </c>
      <c r="N102" s="188"/>
    </row>
    <row r="103" spans="1:14">
      <c r="A103" s="73" t="s">
        <v>598</v>
      </c>
      <c r="B103" s="73" t="s">
        <v>599</v>
      </c>
      <c r="C103" s="85">
        <v>43831</v>
      </c>
      <c r="D103" s="86" t="s">
        <v>119</v>
      </c>
      <c r="F103" s="86" t="s">
        <v>252</v>
      </c>
      <c r="I103" s="73" t="s">
        <v>137</v>
      </c>
      <c r="J103" s="87">
        <v>0.5</v>
      </c>
      <c r="K103" s="88">
        <v>46</v>
      </c>
      <c r="L103" s="34">
        <f t="shared" si="8"/>
        <v>27.599999999999998</v>
      </c>
      <c r="M103" s="59">
        <f t="shared" si="9"/>
        <v>0.16</v>
      </c>
      <c r="N103" s="188"/>
    </row>
    <row r="104" spans="1:14">
      <c r="A104" s="52" t="s">
        <v>622</v>
      </c>
      <c r="B104" s="44" t="s">
        <v>623</v>
      </c>
      <c r="C104" s="55">
        <v>43466</v>
      </c>
      <c r="D104" s="56" t="s">
        <v>119</v>
      </c>
      <c r="E104" s="56"/>
      <c r="F104" s="56" t="s">
        <v>252</v>
      </c>
      <c r="I104" s="57" t="s">
        <v>137</v>
      </c>
      <c r="J104" s="45">
        <v>0.4</v>
      </c>
      <c r="K104" s="45">
        <v>46</v>
      </c>
      <c r="L104" s="34">
        <f t="shared" si="8"/>
        <v>22.08</v>
      </c>
      <c r="M104" s="59">
        <f t="shared" si="9"/>
        <v>0.13</v>
      </c>
      <c r="N104" s="188"/>
    </row>
    <row r="105" spans="1:14">
      <c r="A105" s="52" t="s">
        <v>626</v>
      </c>
      <c r="B105" s="44" t="s">
        <v>639</v>
      </c>
      <c r="C105" s="55">
        <v>43101</v>
      </c>
      <c r="D105" s="56" t="s">
        <v>119</v>
      </c>
      <c r="E105" s="56"/>
      <c r="F105" s="56" t="s">
        <v>252</v>
      </c>
      <c r="I105" s="57" t="s">
        <v>137</v>
      </c>
      <c r="J105" s="45">
        <v>0.6</v>
      </c>
      <c r="K105" s="45">
        <v>46</v>
      </c>
      <c r="L105" s="34">
        <f t="shared" si="8"/>
        <v>33.119999999999997</v>
      </c>
      <c r="M105" s="59">
        <f t="shared" si="9"/>
        <v>0.19</v>
      </c>
      <c r="N105" s="188"/>
    </row>
    <row r="106" spans="1:14">
      <c r="D106" s="86" t="s">
        <v>119</v>
      </c>
      <c r="G106" s="82" t="s">
        <v>252</v>
      </c>
      <c r="I106" s="74" t="s">
        <v>137</v>
      </c>
      <c r="J106" s="150">
        <v>2.9166666666666665</v>
      </c>
      <c r="K106" s="83">
        <v>46</v>
      </c>
      <c r="L106" s="34">
        <f t="shared" si="8"/>
        <v>80.499999999999986</v>
      </c>
      <c r="M106" s="59">
        <f t="shared" si="9"/>
        <v>0.47</v>
      </c>
      <c r="N106" s="188"/>
    </row>
    <row r="107" spans="1:14">
      <c r="A107" s="73" t="s">
        <v>596</v>
      </c>
      <c r="B107" s="73" t="s">
        <v>597</v>
      </c>
      <c r="C107" s="85">
        <v>43831</v>
      </c>
      <c r="D107" s="56" t="s">
        <v>119</v>
      </c>
      <c r="F107" s="86" t="s">
        <v>252</v>
      </c>
      <c r="I107" s="73" t="s">
        <v>138</v>
      </c>
      <c r="J107" s="87">
        <v>0.33</v>
      </c>
      <c r="K107" s="88">
        <v>46</v>
      </c>
      <c r="L107" s="34">
        <f t="shared" si="8"/>
        <v>18.216000000000001</v>
      </c>
      <c r="M107" s="59">
        <f t="shared" si="9"/>
        <v>0.11</v>
      </c>
      <c r="N107" s="188"/>
    </row>
    <row r="108" spans="1:14">
      <c r="A108" s="52" t="s">
        <v>620</v>
      </c>
      <c r="B108" s="44" t="s">
        <v>621</v>
      </c>
      <c r="C108" s="55">
        <v>43466</v>
      </c>
      <c r="D108" s="56" t="s">
        <v>119</v>
      </c>
      <c r="F108" s="56" t="s">
        <v>252</v>
      </c>
      <c r="I108" s="57" t="s">
        <v>138</v>
      </c>
      <c r="J108" s="45">
        <v>0.5</v>
      </c>
      <c r="K108" s="45">
        <v>17</v>
      </c>
      <c r="L108" s="34">
        <f t="shared" si="8"/>
        <v>10.199999999999999</v>
      </c>
      <c r="M108" s="59">
        <f t="shared" si="9"/>
        <v>0.06</v>
      </c>
      <c r="N108" s="188"/>
    </row>
    <row r="109" spans="1:14">
      <c r="A109" s="52" t="s">
        <v>620</v>
      </c>
      <c r="B109" s="44" t="s">
        <v>621</v>
      </c>
      <c r="C109" s="55">
        <v>43466</v>
      </c>
      <c r="D109" s="56" t="s">
        <v>119</v>
      </c>
      <c r="F109" s="56" t="s">
        <v>252</v>
      </c>
      <c r="I109" s="167" t="s">
        <v>138</v>
      </c>
      <c r="J109" s="72">
        <v>0.2</v>
      </c>
      <c r="K109" s="45">
        <v>29</v>
      </c>
      <c r="L109" s="34">
        <f t="shared" si="8"/>
        <v>6.96</v>
      </c>
      <c r="M109" s="59">
        <f t="shared" si="9"/>
        <v>0.04</v>
      </c>
      <c r="N109" s="188"/>
    </row>
    <row r="110" spans="1:14">
      <c r="D110" s="86" t="s">
        <v>119</v>
      </c>
      <c r="G110" s="82" t="s">
        <v>252</v>
      </c>
      <c r="I110" s="75" t="s">
        <v>138</v>
      </c>
      <c r="J110" s="154">
        <v>1.8333333333333333</v>
      </c>
      <c r="K110" s="83">
        <v>46</v>
      </c>
      <c r="L110" s="34">
        <f t="shared" si="8"/>
        <v>50.599999999999994</v>
      </c>
      <c r="M110" s="59">
        <f t="shared" si="9"/>
        <v>0.28999999999999998</v>
      </c>
      <c r="N110" s="188"/>
    </row>
    <row r="111" spans="1:14">
      <c r="A111" s="52" t="s">
        <v>644</v>
      </c>
      <c r="B111" s="44" t="s">
        <v>645</v>
      </c>
      <c r="C111" s="55">
        <v>43466</v>
      </c>
      <c r="D111" s="56" t="s">
        <v>119</v>
      </c>
      <c r="F111" s="56" t="s">
        <v>252</v>
      </c>
      <c r="I111" s="167" t="s">
        <v>21</v>
      </c>
      <c r="J111" s="72">
        <v>0.2</v>
      </c>
      <c r="K111" s="45">
        <v>46</v>
      </c>
      <c r="L111" s="34">
        <f t="shared" si="8"/>
        <v>11.04</v>
      </c>
      <c r="M111" s="59">
        <f t="shared" si="9"/>
        <v>0.06</v>
      </c>
      <c r="N111" s="188"/>
    </row>
    <row r="112" spans="1:14">
      <c r="A112" s="52" t="s">
        <v>624</v>
      </c>
      <c r="B112" s="44" t="s">
        <v>625</v>
      </c>
      <c r="C112" s="55">
        <v>43466</v>
      </c>
      <c r="D112" s="56" t="s">
        <v>119</v>
      </c>
      <c r="E112" s="56"/>
      <c r="F112" s="56" t="s">
        <v>252</v>
      </c>
      <c r="I112" s="167" t="s">
        <v>21</v>
      </c>
      <c r="J112" s="72">
        <v>0.4</v>
      </c>
      <c r="K112" s="45">
        <v>46</v>
      </c>
      <c r="L112" s="34">
        <f t="shared" si="8"/>
        <v>22.08</v>
      </c>
      <c r="M112" s="59">
        <f t="shared" si="9"/>
        <v>0.13</v>
      </c>
      <c r="N112" s="188"/>
    </row>
    <row r="113" spans="1:14">
      <c r="A113" s="73" t="s">
        <v>608</v>
      </c>
      <c r="B113" s="73" t="s">
        <v>609</v>
      </c>
      <c r="C113" s="85">
        <v>43831</v>
      </c>
      <c r="D113" s="56" t="s">
        <v>119</v>
      </c>
      <c r="F113" s="86" t="s">
        <v>252</v>
      </c>
      <c r="I113" s="168" t="s">
        <v>21</v>
      </c>
      <c r="J113" s="171">
        <v>0.4</v>
      </c>
      <c r="K113" s="88">
        <v>46</v>
      </c>
      <c r="L113" s="34">
        <f t="shared" si="8"/>
        <v>22.08</v>
      </c>
      <c r="M113" s="59">
        <f t="shared" si="9"/>
        <v>0.13</v>
      </c>
      <c r="N113" s="188"/>
    </row>
    <row r="114" spans="1:14">
      <c r="D114" s="86" t="s">
        <v>119</v>
      </c>
      <c r="G114" s="82" t="s">
        <v>252</v>
      </c>
      <c r="I114" s="75" t="s">
        <v>21</v>
      </c>
      <c r="J114" s="154">
        <v>0.5</v>
      </c>
      <c r="K114" s="83">
        <v>46</v>
      </c>
      <c r="L114" s="34">
        <f t="shared" si="8"/>
        <v>13.799999999999999</v>
      </c>
      <c r="M114" s="59">
        <f t="shared" si="9"/>
        <v>0.08</v>
      </c>
      <c r="N114" s="188"/>
    </row>
    <row r="115" spans="1:14">
      <c r="A115" s="73" t="s">
        <v>782</v>
      </c>
      <c r="B115" s="73" t="s">
        <v>781</v>
      </c>
      <c r="C115" s="85">
        <v>44105</v>
      </c>
      <c r="D115" s="56" t="s">
        <v>119</v>
      </c>
      <c r="E115" s="86" t="s">
        <v>252</v>
      </c>
      <c r="F115" s="86"/>
      <c r="G115" s="86"/>
      <c r="H115" s="78"/>
      <c r="I115" s="168" t="s">
        <v>783</v>
      </c>
      <c r="J115" s="169"/>
      <c r="K115" s="96"/>
      <c r="L115" s="67"/>
      <c r="M115" s="68"/>
      <c r="N115" s="188"/>
    </row>
    <row r="116" spans="1:14">
      <c r="A116" s="52" t="s">
        <v>629</v>
      </c>
      <c r="B116" s="44" t="s">
        <v>630</v>
      </c>
      <c r="C116" s="55">
        <v>43451</v>
      </c>
      <c r="D116" s="56" t="s">
        <v>119</v>
      </c>
      <c r="E116" s="56"/>
      <c r="F116" s="56" t="s">
        <v>252</v>
      </c>
      <c r="I116" s="167" t="s">
        <v>201</v>
      </c>
      <c r="J116" s="72">
        <v>0.15</v>
      </c>
      <c r="K116" s="45">
        <v>46</v>
      </c>
      <c r="L116" s="34">
        <f t="shared" ref="L116:L131" si="10">IF($D116="FT",1,0.5)*(wPC*IF($E116="Y",1,0) +wPT*IF($F116="Y",1,0) + wMT*IF($G116="Y",1,0) + wHT*IF($H116="Y",1,0))*$J116*$K116</f>
        <v>8.2799999999999994</v>
      </c>
      <c r="M116" s="59">
        <f t="shared" ref="M116:M131" si="11">ROUND($L116/172.5,2)</f>
        <v>0.05</v>
      </c>
      <c r="N116" s="188"/>
    </row>
    <row r="117" spans="1:14">
      <c r="D117" s="86" t="s">
        <v>119</v>
      </c>
      <c r="G117" s="82" t="s">
        <v>252</v>
      </c>
      <c r="I117" s="57" t="s">
        <v>201</v>
      </c>
      <c r="J117" s="151">
        <v>1.6666666666666665</v>
      </c>
      <c r="K117" s="83">
        <v>46</v>
      </c>
      <c r="L117" s="34">
        <f t="shared" si="10"/>
        <v>45.999999999999993</v>
      </c>
      <c r="M117" s="59">
        <f t="shared" si="11"/>
        <v>0.27</v>
      </c>
      <c r="N117" s="188"/>
    </row>
    <row r="118" spans="1:14">
      <c r="A118" s="73" t="s">
        <v>594</v>
      </c>
      <c r="B118" s="73" t="s">
        <v>595</v>
      </c>
      <c r="C118" s="85">
        <v>43922</v>
      </c>
      <c r="D118" s="56" t="s">
        <v>119</v>
      </c>
      <c r="E118" s="86" t="s">
        <v>252</v>
      </c>
      <c r="F118" s="86"/>
      <c r="I118" s="73" t="s">
        <v>139</v>
      </c>
      <c r="J118" s="87">
        <v>0.2</v>
      </c>
      <c r="K118" s="88">
        <v>34.5</v>
      </c>
      <c r="L118" s="34">
        <f t="shared" si="10"/>
        <v>4.1399999999999997</v>
      </c>
      <c r="M118" s="59">
        <f t="shared" si="11"/>
        <v>0.02</v>
      </c>
      <c r="N118" s="188"/>
    </row>
    <row r="119" spans="1:14">
      <c r="A119" s="73" t="s">
        <v>594</v>
      </c>
      <c r="B119" s="73" t="s">
        <v>595</v>
      </c>
      <c r="C119" s="85">
        <v>43922</v>
      </c>
      <c r="D119" s="56" t="s">
        <v>119</v>
      </c>
      <c r="F119" s="86" t="s">
        <v>252</v>
      </c>
      <c r="I119" s="73" t="s">
        <v>139</v>
      </c>
      <c r="J119" s="87">
        <v>0.2</v>
      </c>
      <c r="K119" s="92">
        <v>11.5</v>
      </c>
      <c r="L119" s="34">
        <f t="shared" si="10"/>
        <v>2.76</v>
      </c>
      <c r="M119" s="59">
        <f t="shared" si="11"/>
        <v>0.02</v>
      </c>
      <c r="N119" s="188"/>
    </row>
    <row r="120" spans="1:14">
      <c r="D120" s="86" t="s">
        <v>119</v>
      </c>
      <c r="G120" s="82" t="s">
        <v>252</v>
      </c>
      <c r="I120" s="57" t="s">
        <v>139</v>
      </c>
      <c r="J120" s="150">
        <v>0.33333333333333331</v>
      </c>
      <c r="K120" s="83">
        <v>46</v>
      </c>
      <c r="L120" s="34">
        <f t="shared" si="10"/>
        <v>9.1999999999999993</v>
      </c>
      <c r="M120" s="59">
        <f t="shared" si="11"/>
        <v>0.05</v>
      </c>
      <c r="N120" s="188"/>
    </row>
    <row r="121" spans="1:14">
      <c r="D121" s="86" t="s">
        <v>119</v>
      </c>
      <c r="G121" s="82" t="s">
        <v>252</v>
      </c>
      <c r="I121" s="57" t="s">
        <v>126</v>
      </c>
      <c r="J121" s="150">
        <v>0.16666666666666666</v>
      </c>
      <c r="K121" s="83">
        <v>46</v>
      </c>
      <c r="L121" s="34">
        <f t="shared" si="10"/>
        <v>4.5999999999999996</v>
      </c>
      <c r="M121" s="59">
        <f t="shared" si="11"/>
        <v>0.03</v>
      </c>
      <c r="N121" s="188"/>
    </row>
    <row r="122" spans="1:14">
      <c r="A122" s="90" t="s">
        <v>648</v>
      </c>
      <c r="B122" s="90" t="s">
        <v>649</v>
      </c>
      <c r="C122" s="94">
        <v>44197</v>
      </c>
      <c r="D122" s="82" t="s">
        <v>119</v>
      </c>
      <c r="E122" s="82" t="s">
        <v>252</v>
      </c>
      <c r="I122" s="95" t="s">
        <v>140</v>
      </c>
      <c r="J122" s="70">
        <v>0</v>
      </c>
      <c r="K122" s="82">
        <v>46</v>
      </c>
      <c r="L122" s="34">
        <f t="shared" si="10"/>
        <v>0</v>
      </c>
      <c r="M122" s="59">
        <f t="shared" si="11"/>
        <v>0</v>
      </c>
      <c r="N122" s="188" t="s">
        <v>650</v>
      </c>
    </row>
    <row r="123" spans="1:14">
      <c r="A123" s="90" t="s">
        <v>646</v>
      </c>
      <c r="B123" s="90" t="s">
        <v>647</v>
      </c>
      <c r="C123" s="94">
        <v>44197</v>
      </c>
      <c r="D123" s="82" t="s">
        <v>119</v>
      </c>
      <c r="E123" s="82" t="s">
        <v>252</v>
      </c>
      <c r="I123" s="95" t="s">
        <v>140</v>
      </c>
      <c r="J123" s="70">
        <v>0</v>
      </c>
      <c r="K123" s="82">
        <v>46</v>
      </c>
      <c r="L123" s="34">
        <f t="shared" si="10"/>
        <v>0</v>
      </c>
      <c r="M123" s="59">
        <f t="shared" si="11"/>
        <v>0</v>
      </c>
      <c r="N123" s="188" t="s">
        <v>650</v>
      </c>
    </row>
    <row r="124" spans="1:14" s="89" customFormat="1">
      <c r="A124" s="73" t="s">
        <v>612</v>
      </c>
      <c r="B124" s="73" t="s">
        <v>613</v>
      </c>
      <c r="C124" s="85">
        <v>43831</v>
      </c>
      <c r="D124" s="86" t="s">
        <v>119</v>
      </c>
      <c r="E124" s="82"/>
      <c r="F124" s="86" t="s">
        <v>252</v>
      </c>
      <c r="G124" s="82"/>
      <c r="H124" s="77"/>
      <c r="I124" s="73" t="s">
        <v>140</v>
      </c>
      <c r="J124" s="87">
        <v>0.4</v>
      </c>
      <c r="K124" s="88">
        <v>46</v>
      </c>
      <c r="L124" s="34">
        <f t="shared" si="10"/>
        <v>22.08</v>
      </c>
      <c r="M124" s="59">
        <f t="shared" si="11"/>
        <v>0.13</v>
      </c>
      <c r="N124" s="188"/>
    </row>
    <row r="125" spans="1:14">
      <c r="D125" s="86" t="s">
        <v>119</v>
      </c>
      <c r="G125" s="82" t="s">
        <v>252</v>
      </c>
      <c r="I125" s="57" t="s">
        <v>140</v>
      </c>
      <c r="J125" s="150">
        <v>1.5833333333333333</v>
      </c>
      <c r="K125" s="21">
        <v>46</v>
      </c>
      <c r="L125" s="34">
        <f t="shared" si="10"/>
        <v>43.699999999999996</v>
      </c>
      <c r="M125" s="59">
        <f t="shared" si="11"/>
        <v>0.25</v>
      </c>
      <c r="N125" s="188"/>
    </row>
    <row r="126" spans="1:14">
      <c r="A126" s="52" t="s">
        <v>626</v>
      </c>
      <c r="B126" s="44" t="s">
        <v>628</v>
      </c>
      <c r="C126" s="55">
        <v>43466</v>
      </c>
      <c r="D126" s="86" t="s">
        <v>119</v>
      </c>
      <c r="E126" s="56"/>
      <c r="F126" s="56" t="s">
        <v>252</v>
      </c>
      <c r="I126" s="57" t="s">
        <v>22</v>
      </c>
      <c r="J126" s="45">
        <v>0.8</v>
      </c>
      <c r="K126" s="45">
        <v>46</v>
      </c>
      <c r="L126" s="34">
        <f t="shared" si="10"/>
        <v>44.16</v>
      </c>
      <c r="M126" s="59">
        <f t="shared" si="11"/>
        <v>0.26</v>
      </c>
      <c r="N126" s="188"/>
    </row>
    <row r="127" spans="1:14">
      <c r="A127" s="52" t="s">
        <v>626</v>
      </c>
      <c r="B127" s="44" t="s">
        <v>627</v>
      </c>
      <c r="C127" s="55">
        <v>43466</v>
      </c>
      <c r="D127" s="86" t="s">
        <v>119</v>
      </c>
      <c r="F127" s="56" t="s">
        <v>252</v>
      </c>
      <c r="I127" s="57" t="s">
        <v>22</v>
      </c>
      <c r="J127" s="45">
        <v>0.5</v>
      </c>
      <c r="K127" s="45">
        <v>46</v>
      </c>
      <c r="L127" s="34">
        <f t="shared" si="10"/>
        <v>27.599999999999998</v>
      </c>
      <c r="M127" s="59">
        <f t="shared" si="11"/>
        <v>0.16</v>
      </c>
      <c r="N127" s="188"/>
    </row>
    <row r="128" spans="1:14" s="89" customFormat="1">
      <c r="A128" s="52" t="s">
        <v>616</v>
      </c>
      <c r="B128" s="44" t="s">
        <v>617</v>
      </c>
      <c r="C128" s="55">
        <v>43739</v>
      </c>
      <c r="D128" s="86" t="s">
        <v>119</v>
      </c>
      <c r="E128" s="82"/>
      <c r="F128" s="56" t="s">
        <v>252</v>
      </c>
      <c r="G128" s="82"/>
      <c r="H128" s="77"/>
      <c r="I128" s="57" t="s">
        <v>22</v>
      </c>
      <c r="J128" s="45">
        <v>0.75</v>
      </c>
      <c r="K128" s="45">
        <v>46</v>
      </c>
      <c r="L128" s="34">
        <f t="shared" si="10"/>
        <v>41.4</v>
      </c>
      <c r="M128" s="59">
        <f t="shared" si="11"/>
        <v>0.24</v>
      </c>
      <c r="N128" s="188"/>
    </row>
    <row r="129" spans="1:14">
      <c r="D129" s="86" t="s">
        <v>119</v>
      </c>
      <c r="G129" s="82" t="s">
        <v>252</v>
      </c>
      <c r="I129" s="74" t="s">
        <v>22</v>
      </c>
      <c r="J129" s="150">
        <v>0</v>
      </c>
      <c r="K129" s="83">
        <v>46</v>
      </c>
      <c r="L129" s="34">
        <f t="shared" si="10"/>
        <v>0</v>
      </c>
      <c r="M129" s="59">
        <f t="shared" si="11"/>
        <v>0</v>
      </c>
      <c r="N129" s="188"/>
    </row>
    <row r="130" spans="1:14">
      <c r="A130" s="73" t="s">
        <v>606</v>
      </c>
      <c r="B130" s="73" t="s">
        <v>607</v>
      </c>
      <c r="C130" s="85">
        <v>43831</v>
      </c>
      <c r="D130" s="86" t="s">
        <v>119</v>
      </c>
      <c r="F130" s="86" t="s">
        <v>252</v>
      </c>
      <c r="I130" s="73" t="s">
        <v>268</v>
      </c>
      <c r="J130" s="87">
        <v>0.5</v>
      </c>
      <c r="K130" s="88">
        <v>46</v>
      </c>
      <c r="L130" s="34">
        <f t="shared" si="10"/>
        <v>27.599999999999998</v>
      </c>
      <c r="M130" s="59">
        <f t="shared" si="11"/>
        <v>0.16</v>
      </c>
      <c r="N130" s="188"/>
    </row>
    <row r="131" spans="1:14">
      <c r="D131" s="86" t="s">
        <v>119</v>
      </c>
      <c r="G131" s="82" t="s">
        <v>252</v>
      </c>
      <c r="I131" s="57" t="s">
        <v>268</v>
      </c>
      <c r="J131" s="150">
        <v>1.25</v>
      </c>
      <c r="K131" s="21">
        <v>46</v>
      </c>
      <c r="L131" s="34">
        <f t="shared" si="10"/>
        <v>34.5</v>
      </c>
      <c r="M131" s="59">
        <f t="shared" si="11"/>
        <v>0.2</v>
      </c>
      <c r="N131" s="188"/>
    </row>
  </sheetData>
  <sheetProtection algorithmName="SHA-512" hashValue="rRIfxTnOLP98JReajQdSYaiPueg8i3SIAK0jRiQFEH/0Prk8/O2DRL8d2sBLOgYSsGYBI+30oG+YMxqtpJ26Iw==" saltValue="HHvMVwSYm3bPI19OPVzTyA==" spinCount="100000" sheet="1" formatCells="0" formatColumns="0" formatRows="0" insertColumns="0" insertRows="0" insertHyperlinks="0" deleteColumns="0" deleteRows="0" sort="0" autoFilter="0"/>
  <autoFilter ref="A1:N131">
    <sortState ref="A2:N131">
      <sortCondition ref="I1:I131"/>
    </sortState>
  </autoFilter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/>
  </sheetViews>
  <sheetFormatPr defaultColWidth="10.875" defaultRowHeight="15"/>
  <cols>
    <col min="1" max="1" width="21.125" style="84" bestFit="1" customWidth="1"/>
    <col min="2" max="2" width="18.5" style="54" customWidth="1"/>
    <col min="3" max="3" width="18.5" style="10" customWidth="1"/>
    <col min="4" max="4" width="13.875" style="29" customWidth="1"/>
    <col min="5" max="16384" width="10.875" style="27"/>
  </cols>
  <sheetData>
    <row r="1" spans="1:4" s="26" customFormat="1" ht="75">
      <c r="A1" s="20" t="s">
        <v>480</v>
      </c>
      <c r="B1" s="53" t="s">
        <v>801</v>
      </c>
      <c r="C1" s="3" t="s">
        <v>481</v>
      </c>
      <c r="D1" s="32" t="s">
        <v>482</v>
      </c>
    </row>
    <row r="2" spans="1:4">
      <c r="A2" s="146" t="s">
        <v>125</v>
      </c>
      <c r="B2" s="148">
        <v>2.3333333333333335</v>
      </c>
      <c r="C2" s="12">
        <f t="shared" ref="C2:C42" si="0">wTM*$B2</f>
        <v>18.666666666666668</v>
      </c>
      <c r="D2" s="29">
        <f t="shared" ref="D2:D42" si="1">ROUND(C2/172.5,3)</f>
        <v>0.108</v>
      </c>
    </row>
    <row r="3" spans="1:4">
      <c r="A3" s="146" t="s">
        <v>6</v>
      </c>
      <c r="B3" s="149">
        <v>0.33333333333333331</v>
      </c>
      <c r="C3" s="12">
        <f t="shared" si="0"/>
        <v>2.6666666666666665</v>
      </c>
      <c r="D3" s="29">
        <f t="shared" si="1"/>
        <v>1.4999999999999999E-2</v>
      </c>
    </row>
    <row r="4" spans="1:4">
      <c r="A4" s="146" t="s">
        <v>168</v>
      </c>
      <c r="B4" s="149">
        <v>2.6666666666666665</v>
      </c>
      <c r="C4" s="12">
        <f t="shared" si="0"/>
        <v>21.333333333333332</v>
      </c>
      <c r="D4" s="29">
        <f t="shared" si="1"/>
        <v>0.124</v>
      </c>
    </row>
    <row r="5" spans="1:4">
      <c r="A5" s="146" t="s">
        <v>7</v>
      </c>
      <c r="B5" s="149">
        <v>2</v>
      </c>
      <c r="C5" s="12">
        <f t="shared" si="0"/>
        <v>16</v>
      </c>
      <c r="D5" s="29">
        <f t="shared" si="1"/>
        <v>9.2999999999999999E-2</v>
      </c>
    </row>
    <row r="6" spans="1:4">
      <c r="A6" s="147" t="s">
        <v>524</v>
      </c>
      <c r="B6" s="149">
        <v>2.5</v>
      </c>
      <c r="C6" s="12">
        <f t="shared" si="0"/>
        <v>20</v>
      </c>
      <c r="D6" s="29">
        <f t="shared" si="1"/>
        <v>0.11600000000000001</v>
      </c>
    </row>
    <row r="7" spans="1:4">
      <c r="A7" s="147" t="s">
        <v>129</v>
      </c>
      <c r="B7" s="149">
        <v>1</v>
      </c>
      <c r="C7" s="12">
        <f t="shared" si="0"/>
        <v>8</v>
      </c>
      <c r="D7" s="29">
        <f t="shared" si="1"/>
        <v>4.5999999999999999E-2</v>
      </c>
    </row>
    <row r="8" spans="1:4">
      <c r="A8" s="146" t="s">
        <v>8</v>
      </c>
      <c r="B8" s="149">
        <v>1</v>
      </c>
      <c r="C8" s="12">
        <f t="shared" si="0"/>
        <v>8</v>
      </c>
      <c r="D8" s="29">
        <f t="shared" si="1"/>
        <v>4.5999999999999999E-2</v>
      </c>
    </row>
    <row r="9" spans="1:4">
      <c r="A9" s="146" t="s">
        <v>9</v>
      </c>
      <c r="B9" s="149">
        <v>0.66666666666666663</v>
      </c>
      <c r="C9" s="12">
        <f t="shared" si="0"/>
        <v>5.333333333333333</v>
      </c>
      <c r="D9" s="29">
        <f t="shared" si="1"/>
        <v>3.1E-2</v>
      </c>
    </row>
    <row r="10" spans="1:4">
      <c r="A10" s="146" t="s">
        <v>128</v>
      </c>
      <c r="B10" s="149">
        <v>1.6666666666666667</v>
      </c>
      <c r="C10" s="12">
        <f t="shared" si="0"/>
        <v>13.333333333333334</v>
      </c>
      <c r="D10" s="29">
        <f t="shared" si="1"/>
        <v>7.6999999999999999E-2</v>
      </c>
    </row>
    <row r="11" spans="1:4">
      <c r="A11" s="146" t="s">
        <v>10</v>
      </c>
      <c r="B11" s="149">
        <v>0.66666666666666663</v>
      </c>
      <c r="C11" s="12">
        <f t="shared" si="0"/>
        <v>5.333333333333333</v>
      </c>
      <c r="D11" s="29">
        <f t="shared" si="1"/>
        <v>3.1E-2</v>
      </c>
    </row>
    <row r="12" spans="1:4">
      <c r="A12" s="147" t="s">
        <v>269</v>
      </c>
      <c r="B12" s="149">
        <v>0.66666666666666663</v>
      </c>
      <c r="C12" s="12">
        <f t="shared" si="0"/>
        <v>5.333333333333333</v>
      </c>
      <c r="D12" s="29">
        <f t="shared" si="1"/>
        <v>3.1E-2</v>
      </c>
    </row>
    <row r="13" spans="1:4">
      <c r="A13" s="147" t="s">
        <v>11</v>
      </c>
      <c r="B13" s="149">
        <v>2.3333333333333335</v>
      </c>
      <c r="C13" s="12">
        <f t="shared" si="0"/>
        <v>18.666666666666668</v>
      </c>
      <c r="D13" s="29">
        <f t="shared" si="1"/>
        <v>0.108</v>
      </c>
    </row>
    <row r="14" spans="1:4">
      <c r="A14" s="146" t="s">
        <v>130</v>
      </c>
      <c r="B14" s="149">
        <v>2.6666666666666665</v>
      </c>
      <c r="C14" s="12">
        <f t="shared" si="0"/>
        <v>21.333333333333332</v>
      </c>
      <c r="D14" s="29">
        <f t="shared" si="1"/>
        <v>0.124</v>
      </c>
    </row>
    <row r="15" spans="1:4">
      <c r="A15" s="147" t="s">
        <v>121</v>
      </c>
      <c r="B15" s="149">
        <v>1.3333333333333333</v>
      </c>
      <c r="C15" s="12">
        <f t="shared" si="0"/>
        <v>10.666666666666666</v>
      </c>
      <c r="D15" s="29">
        <f t="shared" si="1"/>
        <v>6.2E-2</v>
      </c>
    </row>
    <row r="16" spans="1:4">
      <c r="A16" s="147" t="s">
        <v>295</v>
      </c>
      <c r="B16" s="149">
        <v>4</v>
      </c>
      <c r="C16" s="12">
        <f t="shared" si="0"/>
        <v>32</v>
      </c>
      <c r="D16" s="29">
        <f t="shared" si="1"/>
        <v>0.186</v>
      </c>
    </row>
    <row r="17" spans="1:4">
      <c r="A17" s="147" t="s">
        <v>131</v>
      </c>
      <c r="B17" s="149">
        <v>2.3333333333333335</v>
      </c>
      <c r="C17" s="12">
        <f t="shared" si="0"/>
        <v>18.666666666666668</v>
      </c>
      <c r="D17" s="29">
        <f t="shared" si="1"/>
        <v>0.108</v>
      </c>
    </row>
    <row r="18" spans="1:4">
      <c r="A18" s="147" t="s">
        <v>13</v>
      </c>
      <c r="B18" s="149">
        <v>1.6666666666666667</v>
      </c>
      <c r="C18" s="12">
        <f t="shared" si="0"/>
        <v>13.333333333333334</v>
      </c>
      <c r="D18" s="29">
        <f t="shared" si="1"/>
        <v>7.6999999999999999E-2</v>
      </c>
    </row>
    <row r="19" spans="1:4">
      <c r="A19" s="146" t="s">
        <v>14</v>
      </c>
      <c r="B19" s="149">
        <v>1.3333333333333333</v>
      </c>
      <c r="C19" s="12">
        <f t="shared" si="0"/>
        <v>10.666666666666666</v>
      </c>
      <c r="D19" s="29">
        <f t="shared" si="1"/>
        <v>6.2E-2</v>
      </c>
    </row>
    <row r="20" spans="1:4">
      <c r="A20" s="25" t="s">
        <v>132</v>
      </c>
      <c r="B20" s="149">
        <v>1.6666666666666667</v>
      </c>
      <c r="C20" s="12">
        <f t="shared" si="0"/>
        <v>13.333333333333334</v>
      </c>
      <c r="D20" s="29">
        <f t="shared" si="1"/>
        <v>7.6999999999999999E-2</v>
      </c>
    </row>
    <row r="21" spans="1:4">
      <c r="A21" s="147" t="s">
        <v>15</v>
      </c>
      <c r="B21" s="149">
        <v>1.3333333333333333</v>
      </c>
      <c r="C21" s="12">
        <f t="shared" si="0"/>
        <v>10.666666666666666</v>
      </c>
      <c r="D21" s="29">
        <f t="shared" si="1"/>
        <v>6.2E-2</v>
      </c>
    </row>
    <row r="22" spans="1:4">
      <c r="A22" s="146" t="s">
        <v>171</v>
      </c>
      <c r="B22" s="149">
        <v>0.66666666666666663</v>
      </c>
      <c r="C22" s="12">
        <f t="shared" si="0"/>
        <v>5.333333333333333</v>
      </c>
      <c r="D22" s="29">
        <f t="shared" si="1"/>
        <v>3.1E-2</v>
      </c>
    </row>
    <row r="23" spans="1:4">
      <c r="A23" s="147" t="s">
        <v>135</v>
      </c>
      <c r="B23" s="149">
        <v>0.66666666666666663</v>
      </c>
      <c r="C23" s="12">
        <f t="shared" si="0"/>
        <v>5.333333333333333</v>
      </c>
      <c r="D23" s="29">
        <f t="shared" si="1"/>
        <v>3.1E-2</v>
      </c>
    </row>
    <row r="24" spans="1:4">
      <c r="A24" s="146" t="s">
        <v>16</v>
      </c>
      <c r="B24" s="149">
        <v>0.66666666666666663</v>
      </c>
      <c r="C24" s="12">
        <f t="shared" si="0"/>
        <v>5.333333333333333</v>
      </c>
      <c r="D24" s="29">
        <f t="shared" si="1"/>
        <v>3.1E-2</v>
      </c>
    </row>
    <row r="25" spans="1:4">
      <c r="A25" s="147" t="s">
        <v>134</v>
      </c>
      <c r="B25" s="149">
        <v>2.6666666666666665</v>
      </c>
      <c r="C25" s="12">
        <f t="shared" si="0"/>
        <v>21.333333333333332</v>
      </c>
      <c r="D25" s="29">
        <f t="shared" si="1"/>
        <v>0.124</v>
      </c>
    </row>
    <row r="26" spans="1:4">
      <c r="A26" s="146" t="s">
        <v>127</v>
      </c>
      <c r="B26" s="149">
        <v>1.3333333333333333</v>
      </c>
      <c r="C26" s="12">
        <f t="shared" si="0"/>
        <v>10.666666666666666</v>
      </c>
      <c r="D26" s="29">
        <f t="shared" si="1"/>
        <v>6.2E-2</v>
      </c>
    </row>
    <row r="27" spans="1:4">
      <c r="A27" s="146" t="s">
        <v>122</v>
      </c>
      <c r="B27" s="149">
        <v>3.6666666666666665</v>
      </c>
      <c r="C27" s="12">
        <f t="shared" si="0"/>
        <v>29.333333333333332</v>
      </c>
      <c r="D27" s="29">
        <f t="shared" si="1"/>
        <v>0.17</v>
      </c>
    </row>
    <row r="28" spans="1:4">
      <c r="A28" s="147" t="s">
        <v>17</v>
      </c>
      <c r="B28" s="149">
        <v>2.3333333333333335</v>
      </c>
      <c r="C28" s="12">
        <f t="shared" si="0"/>
        <v>18.666666666666668</v>
      </c>
      <c r="D28" s="29">
        <f t="shared" si="1"/>
        <v>0.108</v>
      </c>
    </row>
    <row r="29" spans="1:4">
      <c r="A29" s="147" t="s">
        <v>19</v>
      </c>
      <c r="B29" s="149">
        <v>2.3333333333333335</v>
      </c>
      <c r="C29" s="12">
        <f t="shared" si="0"/>
        <v>18.666666666666668</v>
      </c>
      <c r="D29" s="29">
        <f t="shared" si="1"/>
        <v>0.108</v>
      </c>
    </row>
    <row r="30" spans="1:4">
      <c r="A30" s="147" t="s">
        <v>136</v>
      </c>
      <c r="B30" s="149">
        <v>2.3333333333333335</v>
      </c>
      <c r="C30" s="12">
        <f t="shared" si="0"/>
        <v>18.666666666666668</v>
      </c>
      <c r="D30" s="29">
        <f t="shared" si="1"/>
        <v>0.108</v>
      </c>
    </row>
    <row r="31" spans="1:4">
      <c r="A31" s="147" t="s">
        <v>20</v>
      </c>
      <c r="B31" s="149">
        <v>0.66666666666666663</v>
      </c>
      <c r="C31" s="12">
        <f t="shared" si="0"/>
        <v>5.333333333333333</v>
      </c>
      <c r="D31" s="29">
        <f t="shared" si="1"/>
        <v>3.1E-2</v>
      </c>
    </row>
    <row r="32" spans="1:4">
      <c r="A32" s="147" t="s">
        <v>154</v>
      </c>
      <c r="B32" s="149">
        <v>2.6666666666666665</v>
      </c>
      <c r="C32" s="12">
        <f t="shared" si="0"/>
        <v>21.333333333333332</v>
      </c>
      <c r="D32" s="29">
        <f t="shared" si="1"/>
        <v>0.124</v>
      </c>
    </row>
    <row r="33" spans="1:4">
      <c r="A33" s="147" t="s">
        <v>141</v>
      </c>
      <c r="B33" s="149">
        <v>0.66666666666666663</v>
      </c>
      <c r="C33" s="12">
        <f t="shared" si="0"/>
        <v>5.333333333333333</v>
      </c>
      <c r="D33" s="29">
        <f t="shared" si="1"/>
        <v>3.1E-2</v>
      </c>
    </row>
    <row r="34" spans="1:4">
      <c r="A34" s="146" t="s">
        <v>137</v>
      </c>
      <c r="B34" s="149">
        <v>2</v>
      </c>
      <c r="C34" s="12">
        <f t="shared" si="0"/>
        <v>16</v>
      </c>
      <c r="D34" s="29">
        <f t="shared" si="1"/>
        <v>9.2999999999999999E-2</v>
      </c>
    </row>
    <row r="35" spans="1:4">
      <c r="A35" s="25" t="s">
        <v>138</v>
      </c>
      <c r="B35" s="149">
        <v>3</v>
      </c>
      <c r="C35" s="12">
        <f t="shared" si="0"/>
        <v>24</v>
      </c>
      <c r="D35" s="29">
        <f t="shared" si="1"/>
        <v>0.13900000000000001</v>
      </c>
    </row>
    <row r="36" spans="1:4">
      <c r="A36" s="147" t="s">
        <v>21</v>
      </c>
      <c r="B36" s="149">
        <v>2</v>
      </c>
      <c r="C36" s="12">
        <f t="shared" si="0"/>
        <v>16</v>
      </c>
      <c r="D36" s="29">
        <f t="shared" si="1"/>
        <v>9.2999999999999999E-2</v>
      </c>
    </row>
    <row r="37" spans="1:4">
      <c r="A37" s="146" t="s">
        <v>201</v>
      </c>
      <c r="B37" s="149">
        <v>1.3333333333333333</v>
      </c>
      <c r="C37" s="12">
        <f t="shared" si="0"/>
        <v>10.666666666666666</v>
      </c>
      <c r="D37" s="29">
        <f t="shared" si="1"/>
        <v>6.2E-2</v>
      </c>
    </row>
    <row r="38" spans="1:4">
      <c r="A38" s="146" t="s">
        <v>139</v>
      </c>
      <c r="B38" s="149">
        <v>1.3333333333333333</v>
      </c>
      <c r="C38" s="12">
        <f t="shared" si="0"/>
        <v>10.666666666666666</v>
      </c>
      <c r="D38" s="29">
        <f t="shared" si="1"/>
        <v>6.2E-2</v>
      </c>
    </row>
    <row r="39" spans="1:4">
      <c r="A39" s="146" t="s">
        <v>126</v>
      </c>
      <c r="B39" s="149">
        <v>1.6666666666666667</v>
      </c>
      <c r="C39" s="12">
        <f t="shared" si="0"/>
        <v>13.333333333333334</v>
      </c>
      <c r="D39" s="29">
        <f t="shared" si="1"/>
        <v>7.6999999999999999E-2</v>
      </c>
    </row>
    <row r="40" spans="1:4">
      <c r="A40" s="147" t="s">
        <v>140</v>
      </c>
      <c r="B40" s="149">
        <v>3</v>
      </c>
      <c r="C40" s="12">
        <f t="shared" si="0"/>
        <v>24</v>
      </c>
      <c r="D40" s="29">
        <f t="shared" si="1"/>
        <v>0.13900000000000001</v>
      </c>
    </row>
    <row r="41" spans="1:4">
      <c r="A41" s="147" t="s">
        <v>22</v>
      </c>
      <c r="B41" s="149">
        <v>0.33333333333333331</v>
      </c>
      <c r="C41" s="12">
        <f t="shared" si="0"/>
        <v>2.6666666666666665</v>
      </c>
      <c r="D41" s="29">
        <f t="shared" si="1"/>
        <v>1.4999999999999999E-2</v>
      </c>
    </row>
    <row r="42" spans="1:4">
      <c r="A42" s="147" t="s">
        <v>268</v>
      </c>
      <c r="B42" s="149">
        <v>0</v>
      </c>
      <c r="C42" s="12">
        <f t="shared" si="0"/>
        <v>0</v>
      </c>
      <c r="D42" s="29">
        <f t="shared" si="1"/>
        <v>0</v>
      </c>
    </row>
  </sheetData>
  <sheetProtection algorithmName="SHA-512" hashValue="3sVIhvNG5+zriEcsq6esmeWMC3lJr9/+EIYjlG+tUuwIrJ+qR3X9YtIBoXW6b5R35EhzTVqSOYoNC+P/x/f/hw==" saltValue="DbzLFpflcrO8wTHVzo9qJQ==" spinCount="100000" sheet="1" formatCells="0" formatColumns="0" formatRows="0" insertColumns="0" insertRows="0" insertHyperlinks="0" deleteColumns="0" deleteRows="0" sort="0" autoFilter="0"/>
  <autoFilter ref="A1:D1">
    <sortState ref="A2:D47">
      <sortCondition ref="A1:A47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workbookViewId="0">
      <pane ySplit="1" topLeftCell="A2" activePane="bottomLeft" state="frozen"/>
      <selection pane="bottomLeft"/>
    </sheetView>
  </sheetViews>
  <sheetFormatPr defaultColWidth="10.875" defaultRowHeight="15"/>
  <cols>
    <col min="1" max="1" width="48.125" style="80" customWidth="1"/>
    <col min="2" max="2" width="14" style="39" customWidth="1"/>
    <col min="3" max="3" width="17.625" style="80" customWidth="1"/>
    <col min="4" max="4" width="9.625" style="125" customWidth="1"/>
    <col min="5" max="6" width="20" style="29" customWidth="1"/>
    <col min="7" max="16384" width="10.875" style="90"/>
  </cols>
  <sheetData>
    <row r="1" spans="1:6" s="28" customFormat="1" ht="60">
      <c r="A1" s="1" t="s">
        <v>279</v>
      </c>
      <c r="B1" s="1" t="s">
        <v>536</v>
      </c>
      <c r="C1" s="1" t="s">
        <v>259</v>
      </c>
      <c r="D1" s="37" t="s">
        <v>278</v>
      </c>
      <c r="E1" s="32" t="s">
        <v>304</v>
      </c>
      <c r="F1" s="32" t="s">
        <v>303</v>
      </c>
    </row>
    <row r="2" spans="1:6">
      <c r="A2" s="121" t="s">
        <v>272</v>
      </c>
      <c r="B2" s="122">
        <v>0.25</v>
      </c>
      <c r="C2" s="124" t="s">
        <v>125</v>
      </c>
      <c r="D2" s="123">
        <v>46</v>
      </c>
      <c r="E2" s="38">
        <f t="shared" ref="E2:E33" si="0">$B2*$D2/46</f>
        <v>0.25</v>
      </c>
      <c r="F2" s="29">
        <f t="shared" ref="F2:F33" si="1">E2*172.5</f>
        <v>43.125</v>
      </c>
    </row>
    <row r="3" spans="1:6">
      <c r="A3" s="158" t="s">
        <v>277</v>
      </c>
      <c r="B3" s="122">
        <v>0.5</v>
      </c>
      <c r="C3" s="124" t="s">
        <v>587</v>
      </c>
      <c r="D3" s="123">
        <v>46</v>
      </c>
      <c r="E3" s="38">
        <f t="shared" si="0"/>
        <v>0.5</v>
      </c>
      <c r="F3" s="29">
        <f t="shared" si="1"/>
        <v>86.25</v>
      </c>
    </row>
    <row r="4" spans="1:6">
      <c r="A4" s="121" t="s">
        <v>266</v>
      </c>
      <c r="B4" s="122">
        <v>0.75</v>
      </c>
      <c r="C4" s="124" t="s">
        <v>6</v>
      </c>
      <c r="D4" s="123">
        <v>46</v>
      </c>
      <c r="E4" s="38">
        <f t="shared" si="0"/>
        <v>0.75</v>
      </c>
      <c r="F4" s="29">
        <f t="shared" si="1"/>
        <v>129.375</v>
      </c>
    </row>
    <row r="5" spans="1:6">
      <c r="A5" s="121" t="s">
        <v>263</v>
      </c>
      <c r="B5" s="122">
        <v>0.55000000000000004</v>
      </c>
      <c r="C5" s="121" t="s">
        <v>6</v>
      </c>
      <c r="D5" s="123">
        <v>46</v>
      </c>
      <c r="E5" s="38">
        <f t="shared" si="0"/>
        <v>0.55000000000000004</v>
      </c>
      <c r="F5" s="29">
        <f t="shared" si="1"/>
        <v>94.875000000000014</v>
      </c>
    </row>
    <row r="6" spans="1:6" s="80" customFormat="1">
      <c r="A6" s="121" t="s">
        <v>274</v>
      </c>
      <c r="B6" s="122">
        <v>0.25</v>
      </c>
      <c r="C6" s="124" t="s">
        <v>168</v>
      </c>
      <c r="D6" s="123">
        <v>46</v>
      </c>
      <c r="E6" s="38">
        <f t="shared" si="0"/>
        <v>0.25</v>
      </c>
      <c r="F6" s="29">
        <f t="shared" si="1"/>
        <v>43.125</v>
      </c>
    </row>
    <row r="7" spans="1:6">
      <c r="A7" s="121" t="s">
        <v>542</v>
      </c>
      <c r="B7" s="122">
        <v>0.25</v>
      </c>
      <c r="C7" s="145" t="s">
        <v>7</v>
      </c>
      <c r="D7" s="123">
        <v>46</v>
      </c>
      <c r="E7" s="38">
        <f t="shared" si="0"/>
        <v>0.25</v>
      </c>
      <c r="F7" s="29">
        <f t="shared" si="1"/>
        <v>43.125</v>
      </c>
    </row>
    <row r="8" spans="1:6">
      <c r="A8" s="121" t="s">
        <v>655</v>
      </c>
      <c r="B8" s="122">
        <v>0.4</v>
      </c>
      <c r="C8" s="124" t="s">
        <v>129</v>
      </c>
      <c r="D8" s="123">
        <v>46</v>
      </c>
      <c r="E8" s="38">
        <f t="shared" si="0"/>
        <v>0.4</v>
      </c>
      <c r="F8" s="29">
        <f t="shared" si="1"/>
        <v>69</v>
      </c>
    </row>
    <row r="9" spans="1:6">
      <c r="A9" s="121" t="s">
        <v>535</v>
      </c>
      <c r="B9" s="122">
        <v>0.5</v>
      </c>
      <c r="C9" s="141" t="s">
        <v>8</v>
      </c>
      <c r="D9" s="123">
        <v>46</v>
      </c>
      <c r="E9" s="38">
        <f t="shared" si="0"/>
        <v>0.5</v>
      </c>
      <c r="F9" s="29">
        <f t="shared" si="1"/>
        <v>86.25</v>
      </c>
    </row>
    <row r="10" spans="1:6">
      <c r="A10" s="121" t="s">
        <v>670</v>
      </c>
      <c r="B10" s="122">
        <v>2.1</v>
      </c>
      <c r="C10" s="164" t="s">
        <v>8</v>
      </c>
      <c r="D10" s="123">
        <v>46</v>
      </c>
      <c r="E10" s="38">
        <f t="shared" si="0"/>
        <v>2.1</v>
      </c>
      <c r="F10" s="29">
        <f t="shared" si="1"/>
        <v>362.25</v>
      </c>
    </row>
    <row r="11" spans="1:6">
      <c r="A11" s="121" t="s">
        <v>660</v>
      </c>
      <c r="B11" s="122">
        <v>0.25</v>
      </c>
      <c r="C11" s="124" t="s">
        <v>9</v>
      </c>
      <c r="D11" s="123">
        <v>46</v>
      </c>
      <c r="E11" s="38">
        <f t="shared" si="0"/>
        <v>0.25</v>
      </c>
      <c r="F11" s="29">
        <f t="shared" si="1"/>
        <v>43.125</v>
      </c>
    </row>
    <row r="12" spans="1:6">
      <c r="A12" s="121" t="s">
        <v>541</v>
      </c>
      <c r="B12" s="122">
        <v>0.6</v>
      </c>
      <c r="C12" s="124" t="s">
        <v>9</v>
      </c>
      <c r="D12" s="123">
        <v>44</v>
      </c>
      <c r="E12" s="38">
        <f t="shared" si="0"/>
        <v>0.57391304347826089</v>
      </c>
      <c r="F12" s="29">
        <f t="shared" si="1"/>
        <v>99</v>
      </c>
    </row>
    <row r="13" spans="1:6">
      <c r="A13" s="121" t="s">
        <v>306</v>
      </c>
      <c r="B13" s="122">
        <v>2.25</v>
      </c>
      <c r="C13" s="121" t="s">
        <v>128</v>
      </c>
      <c r="D13" s="123">
        <v>46</v>
      </c>
      <c r="E13" s="38">
        <f t="shared" si="0"/>
        <v>2.25</v>
      </c>
      <c r="F13" s="29">
        <f t="shared" si="1"/>
        <v>388.125</v>
      </c>
    </row>
    <row r="14" spans="1:6">
      <c r="A14" s="143" t="s">
        <v>266</v>
      </c>
      <c r="B14" s="122">
        <v>0.75</v>
      </c>
      <c r="C14" s="124" t="s">
        <v>10</v>
      </c>
      <c r="D14" s="123">
        <v>46</v>
      </c>
      <c r="E14" s="38">
        <f t="shared" si="0"/>
        <v>0.75</v>
      </c>
      <c r="F14" s="29">
        <f t="shared" si="1"/>
        <v>129.375</v>
      </c>
    </row>
    <row r="15" spans="1:6">
      <c r="A15" s="121" t="s">
        <v>261</v>
      </c>
      <c r="B15" s="122">
        <v>0.2</v>
      </c>
      <c r="C15" s="124" t="s">
        <v>10</v>
      </c>
      <c r="D15" s="123">
        <v>46</v>
      </c>
      <c r="E15" s="38">
        <f t="shared" si="0"/>
        <v>0.2</v>
      </c>
      <c r="F15" s="29">
        <f t="shared" si="1"/>
        <v>34.5</v>
      </c>
    </row>
    <row r="16" spans="1:6">
      <c r="A16" s="121" t="s">
        <v>548</v>
      </c>
      <c r="B16" s="122">
        <v>0.05</v>
      </c>
      <c r="C16" s="124" t="s">
        <v>10</v>
      </c>
      <c r="D16" s="123">
        <v>46</v>
      </c>
      <c r="E16" s="38">
        <f t="shared" si="0"/>
        <v>0.05</v>
      </c>
      <c r="F16" s="29">
        <f t="shared" si="1"/>
        <v>8.625</v>
      </c>
    </row>
    <row r="17" spans="1:6">
      <c r="A17" s="121" t="s">
        <v>655</v>
      </c>
      <c r="B17" s="122">
        <v>0.4</v>
      </c>
      <c r="C17" s="121" t="s">
        <v>10</v>
      </c>
      <c r="D17" s="123">
        <v>46</v>
      </c>
      <c r="E17" s="38">
        <f t="shared" si="0"/>
        <v>0.4</v>
      </c>
      <c r="F17" s="29">
        <f t="shared" si="1"/>
        <v>69</v>
      </c>
    </row>
    <row r="18" spans="1:6">
      <c r="A18" s="121" t="s">
        <v>261</v>
      </c>
      <c r="B18" s="122">
        <v>0.2</v>
      </c>
      <c r="C18" s="124" t="s">
        <v>269</v>
      </c>
      <c r="D18" s="123">
        <v>46</v>
      </c>
      <c r="E18" s="38">
        <f t="shared" si="0"/>
        <v>0.2</v>
      </c>
      <c r="F18" s="29">
        <f t="shared" si="1"/>
        <v>34.5</v>
      </c>
    </row>
    <row r="19" spans="1:6">
      <c r="A19" s="139" t="s">
        <v>659</v>
      </c>
      <c r="B19" s="122">
        <v>0.25</v>
      </c>
      <c r="C19" s="124" t="s">
        <v>11</v>
      </c>
      <c r="D19" s="123">
        <v>41</v>
      </c>
      <c r="E19" s="38">
        <f t="shared" si="0"/>
        <v>0.22282608695652173</v>
      </c>
      <c r="F19" s="29">
        <f t="shared" si="1"/>
        <v>38.4375</v>
      </c>
    </row>
    <row r="20" spans="1:6">
      <c r="A20" s="139" t="s">
        <v>798</v>
      </c>
      <c r="B20" s="122">
        <v>0.75</v>
      </c>
      <c r="C20" s="136" t="s">
        <v>11</v>
      </c>
      <c r="D20" s="123">
        <v>41</v>
      </c>
      <c r="E20" s="38">
        <f t="shared" si="0"/>
        <v>0.66847826086956519</v>
      </c>
      <c r="F20" s="29">
        <f t="shared" si="1"/>
        <v>115.3125</v>
      </c>
    </row>
    <row r="21" spans="1:6">
      <c r="A21" s="121" t="s">
        <v>199</v>
      </c>
      <c r="B21" s="122">
        <v>0.5</v>
      </c>
      <c r="C21" s="121" t="s">
        <v>294</v>
      </c>
      <c r="D21" s="123">
        <v>46</v>
      </c>
      <c r="E21" s="38">
        <f t="shared" si="0"/>
        <v>0.5</v>
      </c>
      <c r="F21" s="29">
        <f t="shared" si="1"/>
        <v>86.25</v>
      </c>
    </row>
    <row r="22" spans="1:6">
      <c r="A22" s="121" t="s">
        <v>658</v>
      </c>
      <c r="B22" s="122">
        <v>0.75</v>
      </c>
      <c r="C22" s="142" t="s">
        <v>121</v>
      </c>
      <c r="D22" s="123">
        <v>46</v>
      </c>
      <c r="E22" s="38">
        <f t="shared" si="0"/>
        <v>0.75</v>
      </c>
      <c r="F22" s="29">
        <f t="shared" si="1"/>
        <v>129.375</v>
      </c>
    </row>
    <row r="23" spans="1:6">
      <c r="A23" s="121" t="s">
        <v>275</v>
      </c>
      <c r="B23" s="122">
        <v>0.25</v>
      </c>
      <c r="C23" s="124" t="s">
        <v>295</v>
      </c>
      <c r="D23" s="123">
        <v>46</v>
      </c>
      <c r="E23" s="38">
        <f t="shared" si="0"/>
        <v>0.25</v>
      </c>
      <c r="F23" s="29">
        <f t="shared" si="1"/>
        <v>43.125</v>
      </c>
    </row>
    <row r="24" spans="1:6">
      <c r="A24" s="121" t="s">
        <v>669</v>
      </c>
      <c r="B24" s="122">
        <v>0.5</v>
      </c>
      <c r="C24" s="121" t="s">
        <v>12</v>
      </c>
      <c r="D24" s="123">
        <v>46</v>
      </c>
      <c r="E24" s="38">
        <f t="shared" si="0"/>
        <v>0.5</v>
      </c>
      <c r="F24" s="29">
        <f t="shared" si="1"/>
        <v>86.25</v>
      </c>
    </row>
    <row r="25" spans="1:6">
      <c r="A25" s="121" t="s">
        <v>655</v>
      </c>
      <c r="B25" s="122">
        <v>0.4</v>
      </c>
      <c r="C25" s="124" t="s">
        <v>665</v>
      </c>
      <c r="D25" s="123">
        <v>46</v>
      </c>
      <c r="E25" s="38">
        <f t="shared" si="0"/>
        <v>0.4</v>
      </c>
      <c r="F25" s="29">
        <f t="shared" si="1"/>
        <v>69</v>
      </c>
    </row>
    <row r="26" spans="1:6">
      <c r="A26" s="121" t="s">
        <v>654</v>
      </c>
      <c r="B26" s="122">
        <v>1</v>
      </c>
      <c r="C26" s="121" t="s">
        <v>131</v>
      </c>
      <c r="D26" s="123">
        <v>46</v>
      </c>
      <c r="E26" s="38">
        <f t="shared" si="0"/>
        <v>1</v>
      </c>
      <c r="F26" s="29">
        <f t="shared" si="1"/>
        <v>172.5</v>
      </c>
    </row>
    <row r="27" spans="1:6">
      <c r="A27" s="121" t="s">
        <v>534</v>
      </c>
      <c r="B27" s="122">
        <v>0.4</v>
      </c>
      <c r="C27" s="124" t="s">
        <v>131</v>
      </c>
      <c r="D27" s="123">
        <v>46</v>
      </c>
      <c r="E27" s="38">
        <f t="shared" si="0"/>
        <v>0.4</v>
      </c>
      <c r="F27" s="29">
        <f t="shared" si="1"/>
        <v>69</v>
      </c>
    </row>
    <row r="28" spans="1:6">
      <c r="A28" s="121" t="s">
        <v>262</v>
      </c>
      <c r="B28" s="122">
        <v>1</v>
      </c>
      <c r="C28" s="164" t="s">
        <v>13</v>
      </c>
      <c r="D28" s="123">
        <v>46</v>
      </c>
      <c r="E28" s="38">
        <f t="shared" si="0"/>
        <v>1</v>
      </c>
      <c r="F28" s="29">
        <f t="shared" si="1"/>
        <v>172.5</v>
      </c>
    </row>
    <row r="29" spans="1:6">
      <c r="A29" s="121" t="s">
        <v>532</v>
      </c>
      <c r="B29" s="122">
        <v>0.25</v>
      </c>
      <c r="C29" s="124" t="s">
        <v>14</v>
      </c>
      <c r="D29" s="123">
        <v>46</v>
      </c>
      <c r="E29" s="38">
        <f t="shared" si="0"/>
        <v>0.25</v>
      </c>
      <c r="F29" s="29">
        <f t="shared" si="1"/>
        <v>43.125</v>
      </c>
    </row>
    <row r="30" spans="1:6">
      <c r="A30" s="121" t="s">
        <v>551</v>
      </c>
      <c r="B30" s="122">
        <v>1.25</v>
      </c>
      <c r="C30" s="141" t="s">
        <v>14</v>
      </c>
      <c r="D30" s="123">
        <v>46</v>
      </c>
      <c r="E30" s="38">
        <f t="shared" si="0"/>
        <v>1.25</v>
      </c>
      <c r="F30" s="29">
        <f t="shared" si="1"/>
        <v>215.625</v>
      </c>
    </row>
    <row r="31" spans="1:6">
      <c r="A31" s="121" t="s">
        <v>763</v>
      </c>
      <c r="B31" s="122">
        <v>0.6</v>
      </c>
      <c r="C31" s="69" t="s">
        <v>132</v>
      </c>
      <c r="D31" s="123">
        <v>23</v>
      </c>
      <c r="E31" s="38">
        <f t="shared" si="0"/>
        <v>0.3</v>
      </c>
      <c r="F31" s="29">
        <f t="shared" si="1"/>
        <v>51.75</v>
      </c>
    </row>
    <row r="32" spans="1:6">
      <c r="A32" s="121" t="s">
        <v>533</v>
      </c>
      <c r="B32" s="122">
        <v>3.75</v>
      </c>
      <c r="C32" s="144" t="s">
        <v>15</v>
      </c>
      <c r="D32" s="123">
        <v>42</v>
      </c>
      <c r="E32" s="38">
        <f t="shared" si="0"/>
        <v>3.4239130434782608</v>
      </c>
      <c r="F32" s="29">
        <f t="shared" si="1"/>
        <v>590.625</v>
      </c>
    </row>
    <row r="33" spans="1:6">
      <c r="A33" s="121" t="s">
        <v>547</v>
      </c>
      <c r="B33" s="122">
        <v>0.1</v>
      </c>
      <c r="C33" s="155" t="s">
        <v>171</v>
      </c>
      <c r="D33" s="123">
        <v>46</v>
      </c>
      <c r="E33" s="38">
        <f t="shared" si="0"/>
        <v>0.1</v>
      </c>
      <c r="F33" s="29">
        <f t="shared" si="1"/>
        <v>17.25</v>
      </c>
    </row>
    <row r="34" spans="1:6">
      <c r="A34" s="156" t="s">
        <v>803</v>
      </c>
      <c r="B34" s="45">
        <v>1</v>
      </c>
      <c r="C34" s="155" t="s">
        <v>171</v>
      </c>
      <c r="D34" s="125">
        <v>46</v>
      </c>
      <c r="E34" s="29">
        <f t="shared" ref="E34:E57" si="2">$B34*$D34/46</f>
        <v>1</v>
      </c>
      <c r="F34" s="29">
        <f t="shared" ref="F34:F57" si="3">E34*172.5</f>
        <v>172.5</v>
      </c>
    </row>
    <row r="35" spans="1:6">
      <c r="A35" s="121" t="s">
        <v>200</v>
      </c>
      <c r="B35" s="122">
        <v>0.75</v>
      </c>
      <c r="C35" s="141" t="s">
        <v>135</v>
      </c>
      <c r="D35" s="123">
        <v>46</v>
      </c>
      <c r="E35" s="38">
        <f t="shared" si="2"/>
        <v>0.75</v>
      </c>
      <c r="F35" s="29">
        <f t="shared" si="3"/>
        <v>129.375</v>
      </c>
    </row>
    <row r="36" spans="1:6">
      <c r="A36" s="121" t="s">
        <v>543</v>
      </c>
      <c r="B36" s="122">
        <v>0.25</v>
      </c>
      <c r="C36" s="124" t="s">
        <v>16</v>
      </c>
      <c r="D36" s="123">
        <v>23</v>
      </c>
      <c r="E36" s="38">
        <f t="shared" si="2"/>
        <v>0.125</v>
      </c>
      <c r="F36" s="29">
        <f t="shared" si="3"/>
        <v>21.5625</v>
      </c>
    </row>
    <row r="37" spans="1:6">
      <c r="A37" s="121" t="s">
        <v>271</v>
      </c>
      <c r="B37" s="122">
        <v>0.2</v>
      </c>
      <c r="C37" s="124" t="s">
        <v>134</v>
      </c>
      <c r="D37" s="123">
        <v>46</v>
      </c>
      <c r="E37" s="38">
        <f t="shared" si="2"/>
        <v>0.2</v>
      </c>
      <c r="F37" s="29">
        <f t="shared" si="3"/>
        <v>34.5</v>
      </c>
    </row>
    <row r="38" spans="1:6">
      <c r="A38" s="121" t="s">
        <v>549</v>
      </c>
      <c r="B38" s="122">
        <v>0.5</v>
      </c>
      <c r="C38" s="161" t="s">
        <v>127</v>
      </c>
      <c r="D38" s="123">
        <v>46</v>
      </c>
      <c r="E38" s="38">
        <f t="shared" si="2"/>
        <v>0.5</v>
      </c>
      <c r="F38" s="29">
        <f t="shared" si="3"/>
        <v>86.25</v>
      </c>
    </row>
    <row r="39" spans="1:6">
      <c r="A39" s="121" t="s">
        <v>667</v>
      </c>
      <c r="B39" s="122">
        <v>0.25</v>
      </c>
      <c r="C39" s="124" t="s">
        <v>122</v>
      </c>
      <c r="D39" s="123">
        <v>44</v>
      </c>
      <c r="E39" s="38">
        <f t="shared" si="2"/>
        <v>0.2391304347826087</v>
      </c>
      <c r="F39" s="29">
        <f t="shared" si="3"/>
        <v>41.25</v>
      </c>
    </row>
    <row r="40" spans="1:6">
      <c r="A40" s="121" t="s">
        <v>264</v>
      </c>
      <c r="B40" s="122">
        <v>0.5</v>
      </c>
      <c r="C40" s="121" t="s">
        <v>19</v>
      </c>
      <c r="D40" s="123">
        <v>46</v>
      </c>
      <c r="E40" s="38">
        <f t="shared" si="2"/>
        <v>0.5</v>
      </c>
      <c r="F40" s="29">
        <f t="shared" si="3"/>
        <v>86.25</v>
      </c>
    </row>
    <row r="41" spans="1:6">
      <c r="A41" s="121" t="s">
        <v>265</v>
      </c>
      <c r="B41" s="122">
        <v>0.75</v>
      </c>
      <c r="C41" s="121" t="s">
        <v>19</v>
      </c>
      <c r="D41" s="123">
        <v>46</v>
      </c>
      <c r="E41" s="38">
        <f t="shared" si="2"/>
        <v>0.75</v>
      </c>
      <c r="F41" s="29">
        <f t="shared" si="3"/>
        <v>129.375</v>
      </c>
    </row>
    <row r="42" spans="1:6">
      <c r="A42" s="121" t="s">
        <v>305</v>
      </c>
      <c r="B42" s="122">
        <v>3.75</v>
      </c>
      <c r="C42" s="121" t="s">
        <v>20</v>
      </c>
      <c r="D42" s="123">
        <v>46</v>
      </c>
      <c r="E42" s="38">
        <f t="shared" si="2"/>
        <v>3.75</v>
      </c>
      <c r="F42" s="29">
        <f t="shared" si="3"/>
        <v>646.875</v>
      </c>
    </row>
    <row r="43" spans="1:6">
      <c r="A43" s="124" t="s">
        <v>666</v>
      </c>
      <c r="B43" s="122">
        <v>0.5</v>
      </c>
      <c r="C43" s="124" t="s">
        <v>154</v>
      </c>
      <c r="D43" s="123">
        <v>23</v>
      </c>
      <c r="E43" s="38">
        <f t="shared" si="2"/>
        <v>0.25</v>
      </c>
      <c r="F43" s="29">
        <f t="shared" si="3"/>
        <v>43.125</v>
      </c>
    </row>
    <row r="44" spans="1:6">
      <c r="A44" s="121" t="s">
        <v>540</v>
      </c>
      <c r="B44" s="122">
        <v>1</v>
      </c>
      <c r="C44" s="121" t="s">
        <v>141</v>
      </c>
      <c r="D44" s="123">
        <v>46</v>
      </c>
      <c r="E44" s="38">
        <f t="shared" si="2"/>
        <v>1</v>
      </c>
      <c r="F44" s="29">
        <f t="shared" si="3"/>
        <v>172.5</v>
      </c>
    </row>
    <row r="45" spans="1:6">
      <c r="A45" s="121" t="s">
        <v>657</v>
      </c>
      <c r="B45" s="122">
        <v>0.5</v>
      </c>
      <c r="C45" s="124" t="s">
        <v>137</v>
      </c>
      <c r="D45" s="123">
        <v>46</v>
      </c>
      <c r="E45" s="38">
        <f t="shared" si="2"/>
        <v>0.5</v>
      </c>
      <c r="F45" s="29">
        <f t="shared" si="3"/>
        <v>86.25</v>
      </c>
    </row>
    <row r="46" spans="1:6" s="80" customFormat="1">
      <c r="A46" s="121" t="s">
        <v>764</v>
      </c>
      <c r="B46" s="122">
        <v>0.6</v>
      </c>
      <c r="C46" s="124" t="s">
        <v>138</v>
      </c>
      <c r="D46" s="123">
        <v>23</v>
      </c>
      <c r="E46" s="38">
        <f t="shared" si="2"/>
        <v>0.3</v>
      </c>
      <c r="F46" s="29">
        <f t="shared" si="3"/>
        <v>51.75</v>
      </c>
    </row>
    <row r="47" spans="1:6">
      <c r="A47" s="121" t="s">
        <v>671</v>
      </c>
      <c r="B47" s="122">
        <v>1.75</v>
      </c>
      <c r="C47" s="121" t="s">
        <v>21</v>
      </c>
      <c r="D47" s="123">
        <v>46</v>
      </c>
      <c r="E47" s="38">
        <f t="shared" si="2"/>
        <v>1.75</v>
      </c>
      <c r="F47" s="29">
        <f t="shared" si="3"/>
        <v>301.875</v>
      </c>
    </row>
    <row r="48" spans="1:6">
      <c r="A48" s="121" t="s">
        <v>659</v>
      </c>
      <c r="B48" s="122">
        <v>0.25</v>
      </c>
      <c r="C48" s="124" t="s">
        <v>201</v>
      </c>
      <c r="D48" s="123">
        <v>27</v>
      </c>
      <c r="E48" s="38">
        <f t="shared" si="2"/>
        <v>0.14673913043478262</v>
      </c>
      <c r="F48" s="29">
        <f t="shared" si="3"/>
        <v>25.312500000000004</v>
      </c>
    </row>
    <row r="49" spans="1:6">
      <c r="A49" s="121" t="s">
        <v>541</v>
      </c>
      <c r="B49" s="122">
        <v>0.6</v>
      </c>
      <c r="C49" s="124" t="s">
        <v>139</v>
      </c>
      <c r="D49" s="123">
        <v>46</v>
      </c>
      <c r="E49" s="38">
        <f t="shared" si="2"/>
        <v>0.6</v>
      </c>
      <c r="F49" s="29">
        <f t="shared" si="3"/>
        <v>103.5</v>
      </c>
    </row>
    <row r="50" spans="1:6">
      <c r="A50" s="121" t="s">
        <v>273</v>
      </c>
      <c r="B50" s="122">
        <v>0.25</v>
      </c>
      <c r="C50" s="124" t="s">
        <v>126</v>
      </c>
      <c r="D50" s="123">
        <v>46</v>
      </c>
      <c r="E50" s="38">
        <f t="shared" si="2"/>
        <v>0.25</v>
      </c>
      <c r="F50" s="29">
        <f t="shared" si="3"/>
        <v>43.125</v>
      </c>
    </row>
    <row r="51" spans="1:6" s="80" customFormat="1">
      <c r="A51" s="121" t="s">
        <v>656</v>
      </c>
      <c r="B51" s="122">
        <v>0.5</v>
      </c>
      <c r="C51" s="142" t="s">
        <v>144</v>
      </c>
      <c r="D51" s="123">
        <v>46</v>
      </c>
      <c r="E51" s="38">
        <f t="shared" si="2"/>
        <v>0.5</v>
      </c>
      <c r="F51" s="29">
        <f t="shared" si="3"/>
        <v>86.25</v>
      </c>
    </row>
    <row r="52" spans="1:6">
      <c r="A52" s="121" t="s">
        <v>659</v>
      </c>
      <c r="B52" s="122">
        <v>0.25</v>
      </c>
      <c r="C52" s="124" t="s">
        <v>140</v>
      </c>
      <c r="D52" s="123">
        <v>46</v>
      </c>
      <c r="E52" s="38">
        <f t="shared" si="2"/>
        <v>0.25</v>
      </c>
      <c r="F52" s="29">
        <f t="shared" si="3"/>
        <v>43.125</v>
      </c>
    </row>
    <row r="53" spans="1:6">
      <c r="A53" s="121" t="s">
        <v>270</v>
      </c>
      <c r="B53" s="122">
        <v>0.5</v>
      </c>
      <c r="C53" s="124" t="s">
        <v>140</v>
      </c>
      <c r="D53" s="123">
        <v>46</v>
      </c>
      <c r="E53" s="38">
        <f t="shared" si="2"/>
        <v>0.5</v>
      </c>
      <c r="F53" s="29">
        <f t="shared" si="3"/>
        <v>86.25</v>
      </c>
    </row>
    <row r="54" spans="1:6">
      <c r="A54" s="121" t="s">
        <v>664</v>
      </c>
      <c r="B54" s="122">
        <v>0.5</v>
      </c>
      <c r="C54" s="124" t="s">
        <v>140</v>
      </c>
      <c r="D54" s="123">
        <v>46</v>
      </c>
      <c r="E54" s="38">
        <f t="shared" si="2"/>
        <v>0.5</v>
      </c>
      <c r="F54" s="29">
        <f t="shared" si="3"/>
        <v>86.25</v>
      </c>
    </row>
    <row r="55" spans="1:6">
      <c r="A55" s="121" t="s">
        <v>276</v>
      </c>
      <c r="B55" s="122">
        <v>0.25</v>
      </c>
      <c r="C55" s="124" t="s">
        <v>22</v>
      </c>
      <c r="D55" s="123">
        <v>46</v>
      </c>
      <c r="E55" s="38">
        <f t="shared" si="2"/>
        <v>0.25</v>
      </c>
      <c r="F55" s="29">
        <f t="shared" si="3"/>
        <v>43.125</v>
      </c>
    </row>
    <row r="56" spans="1:6">
      <c r="A56" s="121" t="s">
        <v>267</v>
      </c>
      <c r="B56" s="122">
        <v>0.5</v>
      </c>
      <c r="C56" s="124" t="s">
        <v>22</v>
      </c>
      <c r="D56" s="123">
        <v>46</v>
      </c>
      <c r="E56" s="38">
        <f t="shared" si="2"/>
        <v>0.5</v>
      </c>
      <c r="F56" s="29">
        <f t="shared" si="3"/>
        <v>86.25</v>
      </c>
    </row>
    <row r="57" spans="1:6">
      <c r="A57" s="121" t="s">
        <v>260</v>
      </c>
      <c r="B57" s="122">
        <v>7.25</v>
      </c>
      <c r="C57" s="121" t="s">
        <v>268</v>
      </c>
      <c r="D57" s="123">
        <v>46</v>
      </c>
      <c r="E57" s="38">
        <f t="shared" si="2"/>
        <v>7.25</v>
      </c>
      <c r="F57" s="29">
        <f t="shared" si="3"/>
        <v>1250.625</v>
      </c>
    </row>
  </sheetData>
  <sheetProtection algorithmName="SHA-512" hashValue="XiCk7jRHSjcn0NYOg7NVrga6B11LsBfsQrHwDrFAAARzOx9RHuvcJ2FINNObiWSfHxDP26UU3WR1W4LETAr4NQ==" saltValue="lRtG4lG4wnUrTu8ZaLTEhA==" spinCount="100000" sheet="1" formatCells="0" formatColumns="0" formatRows="0" insertColumns="0" insertRows="0" insertHyperlinks="0" deleteColumns="0" deleteRows="0" sort="0" autoFilter="0"/>
  <autoFilter ref="A1:F57">
    <sortState ref="A2:G57">
      <sortCondition ref="C1:C57"/>
    </sortState>
  </autoFilter>
  <sortState ref="A2:F83">
    <sortCondition ref="C2:C8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.875" defaultRowHeight="15"/>
  <cols>
    <col min="1" max="1" width="17.625" style="41" customWidth="1"/>
    <col min="2" max="2" width="10" style="70" customWidth="1"/>
    <col min="3" max="7" width="13.125" style="70" customWidth="1"/>
    <col min="8" max="8" width="8.375" style="45" customWidth="1"/>
    <col min="9" max="9" width="9.625" style="43" customWidth="1"/>
    <col min="10" max="10" width="9.5" style="12" customWidth="1"/>
    <col min="11" max="11" width="10.875" style="12" customWidth="1"/>
    <col min="12" max="12" width="7.125" style="12" customWidth="1"/>
    <col min="13" max="16" width="7.125" style="62" customWidth="1"/>
    <col min="17" max="17" width="7.125" style="12" customWidth="1"/>
    <col min="18" max="21" width="7.125" style="62" customWidth="1"/>
    <col min="22" max="22" width="7.125" style="12" customWidth="1"/>
    <col min="23" max="24" width="7.125" style="62" customWidth="1"/>
    <col min="25" max="26" width="6.125" style="62" customWidth="1"/>
    <col min="27" max="28" width="10.375" style="62" customWidth="1"/>
    <col min="29" max="29" width="10" style="62" customWidth="1"/>
    <col min="30" max="30" width="9" style="62" customWidth="1"/>
    <col min="31" max="31" width="10.875" style="66"/>
    <col min="32" max="32" width="9" style="62" customWidth="1"/>
    <col min="33" max="33" width="49.875" style="176" bestFit="1" customWidth="1"/>
    <col min="34" max="35" width="9.875" style="62" customWidth="1"/>
    <col min="36" max="36" width="12" style="62" customWidth="1"/>
    <col min="37" max="37" width="9.5" style="62" customWidth="1"/>
    <col min="38" max="38" width="10.125" style="62" customWidth="1"/>
    <col min="39" max="16384" width="10.875" style="9"/>
  </cols>
  <sheetData>
    <row r="1" spans="1:38" s="19" customFormat="1" ht="54.95" customHeight="1">
      <c r="A1" s="30" t="s">
        <v>259</v>
      </c>
      <c r="B1" s="1" t="s">
        <v>653</v>
      </c>
      <c r="C1" s="1" t="s">
        <v>725</v>
      </c>
      <c r="D1" s="8" t="s">
        <v>726</v>
      </c>
      <c r="E1" s="1" t="s">
        <v>727</v>
      </c>
      <c r="F1" s="8" t="s">
        <v>728</v>
      </c>
      <c r="G1" s="8" t="s">
        <v>713</v>
      </c>
      <c r="H1" s="30" t="s">
        <v>291</v>
      </c>
      <c r="I1" s="60" t="s">
        <v>756</v>
      </c>
      <c r="J1" s="11" t="s">
        <v>755</v>
      </c>
      <c r="K1" s="11" t="s">
        <v>754</v>
      </c>
      <c r="L1" s="11" t="s">
        <v>753</v>
      </c>
      <c r="M1" s="61" t="s">
        <v>757</v>
      </c>
      <c r="N1" s="61" t="s">
        <v>758</v>
      </c>
      <c r="O1" s="61" t="s">
        <v>784</v>
      </c>
      <c r="P1" s="61" t="s">
        <v>785</v>
      </c>
      <c r="Q1" s="11" t="s">
        <v>719</v>
      </c>
      <c r="R1" s="61" t="s">
        <v>723</v>
      </c>
      <c r="S1" s="61" t="s">
        <v>724</v>
      </c>
      <c r="T1" s="61" t="s">
        <v>786</v>
      </c>
      <c r="U1" s="61" t="s">
        <v>787</v>
      </c>
      <c r="V1" s="11" t="s">
        <v>717</v>
      </c>
      <c r="W1" s="61" t="s">
        <v>721</v>
      </c>
      <c r="X1" s="61" t="s">
        <v>722</v>
      </c>
      <c r="Y1" s="61" t="s">
        <v>788</v>
      </c>
      <c r="Z1" s="61" t="s">
        <v>789</v>
      </c>
      <c r="AA1" s="61" t="s">
        <v>751</v>
      </c>
      <c r="AB1" s="61" t="s">
        <v>752</v>
      </c>
      <c r="AC1" s="61" t="s">
        <v>790</v>
      </c>
      <c r="AD1" s="61" t="s">
        <v>791</v>
      </c>
      <c r="AE1" s="11" t="s">
        <v>760</v>
      </c>
      <c r="AF1" s="61" t="s">
        <v>792</v>
      </c>
      <c r="AG1" s="175" t="s">
        <v>584</v>
      </c>
      <c r="AH1" s="61" t="s">
        <v>714</v>
      </c>
      <c r="AI1" s="61" t="s">
        <v>715</v>
      </c>
      <c r="AJ1" s="61" t="s">
        <v>716</v>
      </c>
      <c r="AK1" s="61" t="s">
        <v>720</v>
      </c>
      <c r="AL1" s="61" t="s">
        <v>718</v>
      </c>
    </row>
    <row r="2" spans="1:38">
      <c r="A2" s="40" t="s">
        <v>125</v>
      </c>
      <c r="B2" s="120" t="s">
        <v>5</v>
      </c>
      <c r="C2" s="120"/>
      <c r="D2" s="120"/>
      <c r="E2" s="120"/>
      <c r="F2" s="120"/>
      <c r="G2" s="120"/>
      <c r="H2" s="42">
        <v>46</v>
      </c>
      <c r="I2" s="43">
        <f t="shared" ref="I2:I23" si="0">ROUND($AH2/172.5,2)</f>
        <v>4.4800000000000004</v>
      </c>
      <c r="J2" s="12">
        <f t="shared" ref="J2:J23" si="1">ROUND($AI2/172.5,3)</f>
        <v>0.64900000000000002</v>
      </c>
      <c r="K2" s="12">
        <f t="shared" ref="K2:K23" si="2">ROUND($AJ2/172.5,3)</f>
        <v>0.108</v>
      </c>
      <c r="L2" s="12">
        <f t="shared" ref="L2:L23" si="3">I2+J2+K2</f>
        <v>5.2370000000000001</v>
      </c>
      <c r="M2" s="62">
        <f t="shared" ref="M2:M23" si="4">IF($B2="TR",IF($C2="Y",EBTR1_lb*$H2/46,IF($D2="Y",EBTRP_lb*$H2/46,IF($G2="Y",ECDTRP_lb*$H2/46,ETR_lb*$H2/46))),IF($B2="TF",IF($E2="Y",EBTF1_lb*$H2/46,IF($F2="Y",EBTFP_lb,ETF_lb))*$H2/46," "))</f>
        <v>3</v>
      </c>
      <c r="N2" s="62">
        <f t="shared" ref="N2:N23" si="5">IF($B2="TR",IF($C2="Y",EBTR1_ub*$H2/46,IF($D2="Y",EBTRP_ub*$H2/46,IF($G2="Y",ECDTRP_ub*$H2/46,ETR_ub*$H2/46))),IF($B2="TF",IF($E2="Y",EBTF1_ub*$H2/46,IF($F2="Y",EBTFP_ub,ETF_ub))*$H2/46," "))</f>
        <v>5</v>
      </c>
      <c r="O2" s="62" t="str">
        <f t="shared" ref="O2:O23" si="6">IF(OR($B2="TR",$B2="TF"),IF(L2&lt;M2,M2-L2,""),"")</f>
        <v/>
      </c>
      <c r="P2" s="62">
        <f t="shared" ref="P2:P23" si="7">IF(OR($B2="TR",$B2="TF"),IF(L2&gt;N2,L2-N2,""),"")</f>
        <v>0.2370000000000001</v>
      </c>
      <c r="Q2" s="12">
        <f t="shared" ref="Q2:Q23" si="8">ROUND($AK2/172.5,3)</f>
        <v>1</v>
      </c>
      <c r="R2" s="62">
        <f t="shared" ref="R2:R23" si="9">IF($B2="TR",IF($C2="Y",SBTR1_lb*$H2/46,IF($D2="Y",SBTRP_lb*$H2/46,IF($G2="Y",SCDTRP_lb*$H2/46,STR_lb*$H2/46))),IF($B2="TF",IF($E2="Y",SBTF1_lb*$H2/46,IF($F2="Y",SBTFP_lb,STF_lb))*$H2/46," "))</f>
        <v>1</v>
      </c>
      <c r="S2" s="62">
        <f t="shared" ref="S2:S23" si="10">IF($B2="TR",IF($C2="Y",SBTR1_ub*$H2/46,IF($D2="Y",SBTRP_ub*$H2/46,IF($G2="Y",SCDTRP_ub*$H2/46,STR_ub*$H2/46))),IF($B2="TF",IF($E2="Y",SBTF1_ub*$H2/46,IF($F2="Y",SBTFP_ub,STF_ub))*$H2/46," "))</f>
        <v>3</v>
      </c>
      <c r="T2" s="62" t="str">
        <f t="shared" ref="T2:T23" si="11">IF(OR($B2="TR",$B2="TF"),IF(Q2&lt;R2,R2-Q2,""),"")</f>
        <v/>
      </c>
      <c r="U2" s="62" t="str">
        <f t="shared" ref="U2:U23" si="12">IF(OR($B2="TR",$B2="TF"),IF(Q2&gt;S2,Q2-S2,""),"")</f>
        <v/>
      </c>
      <c r="V2" s="12">
        <f t="shared" ref="V2:V23" si="13">ROUND($AL2/172.5,1)</f>
        <v>6.2</v>
      </c>
      <c r="W2" s="62">
        <f t="shared" ref="W2:W23" si="14">IF($B2="TR",IF($C2="Y",(10-RBTR1_ub)*$H2/46,IF($D2="Y",(10-RBTRP_ub)*$H2/46,IF($G2="Y",(10-RCDTRP_ub)*$H2/46,(10-RTR_ub)*$H2/46))),IF($B2="TF",IF($E2="Y",(10-STLBTF1_ub)*$H2/46,IF($F2="Y",(10-STLBTFP_ub)*$H2/46,(10-STLTF_ub)*$H2/46))," "))</f>
        <v>5</v>
      </c>
      <c r="X2" s="62">
        <f t="shared" ref="X2:X23" si="15">IF($B2="TR",IF($C2="Y",(10-RBTR1_lb)*$H2/46,IF($D2="Y",(10-RBTRP_lb)*$H2/46,IF($G2="Y",(10-RCDTRP_lb)*$H2/46,(10-RTR_lb)*$H2/46))),IF($B2="TF",IF($E2="Y",(10-STLBTF1_lb)*$H2/46,IF($F2="Y",(10-STLBTFP_lb)*$H2/46,(10-STLTF_lb)*$H2/46))," "))</f>
        <v>7</v>
      </c>
      <c r="Y2" s="62" t="str">
        <f t="shared" ref="Y2:Y23" si="16">IF(OR($B2="TR",$B2="TF"),IF(V2&lt;W2,W2-V2,""),"")</f>
        <v/>
      </c>
      <c r="Z2" s="62" t="str">
        <f t="shared" ref="Z2:Z23" si="17">IF(OR($B2="TR",$B2="TF"),IF(V2&gt;X2,V2-X2,""),"")</f>
        <v/>
      </c>
      <c r="AA2" s="62">
        <f t="shared" ref="AA2:AA48" si="18">IF($B2="TR",($V$51-0.5)*$H2/46,IF($B2="TF",($V$52-0.5)*$H2/46," ") )</f>
        <v>5.8</v>
      </c>
      <c r="AB2" s="62">
        <f t="shared" ref="AB2:AB48" si="19">IF($B2="TR",($V$51+0.5)*$H2/46,IF($B2="TF",($V$52+0.5)*$H2/46," ") )</f>
        <v>6.8</v>
      </c>
      <c r="AC2" s="62" t="str">
        <f t="shared" ref="AC2:AC23" si="20">IF(OR($B2="TR",$B2="TF"),IF(V2&lt;AA2,AA2-V2,""),"")</f>
        <v/>
      </c>
      <c r="AD2" s="62" t="str">
        <f t="shared" ref="AD2:AD23" si="21">IF(OR($B2="TR",$B2="TF"),IF(V2&gt;AB2,V2-AB2,""),"")</f>
        <v/>
      </c>
      <c r="AE2" s="66">
        <f>SUMIF('Teaching Allocations'!$B$2:$B$200,$A2,'Teaching Allocations'!$AI$2:$AI$200)</f>
        <v>556</v>
      </c>
      <c r="AF2" s="62" t="str">
        <f t="shared" ref="AF2:AF23" si="22">IF(OR($B2="TR",$B2="TF"),IF(AE2&lt;75,"Y",""),"")</f>
        <v/>
      </c>
      <c r="AH2" s="62">
        <f>SUMIF('Teaching Allocations'!$B$2:$B$200,$A2,'Teaching Allocations'!$AA$2:$AA$200)</f>
        <v>772.71180000000004</v>
      </c>
      <c r="AI2" s="62">
        <f>SUMIF(Supervision!$I$2:$I$153,A2,Supervision!$L$2:$L$153)</f>
        <v>112.00799999999998</v>
      </c>
      <c r="AJ2" s="62">
        <f>SUMIF('Thesis Marking'!$A$2:$A$110,$A2,'Thesis Marking'!$C$2:$C$110)</f>
        <v>18.666666666666668</v>
      </c>
      <c r="AK2" s="62">
        <f>SUMIF('Service Allocations'!$C$2:$C$181,$A2,'Service Allocations'!$F$2:$F$181) + wGC*172.5*H2/46</f>
        <v>172.5</v>
      </c>
      <c r="AL2" s="62">
        <f t="shared" ref="AL2:AL23" si="23">SUM(AH2:AK2)</f>
        <v>1075.8864666666668</v>
      </c>
    </row>
    <row r="3" spans="1:38">
      <c r="A3" s="40" t="s">
        <v>587</v>
      </c>
      <c r="B3" s="120" t="s">
        <v>4</v>
      </c>
      <c r="C3" s="120"/>
      <c r="D3" s="120"/>
      <c r="E3" s="120" t="s">
        <v>252</v>
      </c>
      <c r="F3" s="120"/>
      <c r="G3" s="120"/>
      <c r="H3" s="42">
        <v>46</v>
      </c>
      <c r="I3" s="43">
        <f t="shared" si="0"/>
        <v>5.46</v>
      </c>
      <c r="J3" s="12">
        <f t="shared" si="1"/>
        <v>0</v>
      </c>
      <c r="K3" s="12">
        <f t="shared" si="2"/>
        <v>0</v>
      </c>
      <c r="L3" s="12">
        <f t="shared" si="3"/>
        <v>5.46</v>
      </c>
      <c r="M3" s="62">
        <f t="shared" si="4"/>
        <v>3.3</v>
      </c>
      <c r="N3" s="62">
        <f t="shared" si="5"/>
        <v>6.3</v>
      </c>
      <c r="O3" s="62" t="str">
        <f t="shared" si="6"/>
        <v/>
      </c>
      <c r="P3" s="62" t="str">
        <f t="shared" si="7"/>
        <v/>
      </c>
      <c r="Q3" s="12">
        <f t="shared" si="8"/>
        <v>1.25</v>
      </c>
      <c r="R3" s="62">
        <f t="shared" si="9"/>
        <v>0.5</v>
      </c>
      <c r="S3" s="62">
        <f t="shared" si="10"/>
        <v>2.5</v>
      </c>
      <c r="T3" s="62" t="str">
        <f t="shared" si="11"/>
        <v/>
      </c>
      <c r="U3" s="62" t="str">
        <f t="shared" si="12"/>
        <v/>
      </c>
      <c r="V3" s="12">
        <f t="shared" si="13"/>
        <v>6.7</v>
      </c>
      <c r="W3" s="62">
        <f t="shared" si="14"/>
        <v>3.8</v>
      </c>
      <c r="X3" s="62">
        <f t="shared" si="15"/>
        <v>6.8</v>
      </c>
      <c r="Y3" s="62" t="str">
        <f t="shared" si="16"/>
        <v/>
      </c>
      <c r="Z3" s="62" t="str">
        <f t="shared" si="17"/>
        <v/>
      </c>
      <c r="AA3" s="62">
        <f t="shared" si="18"/>
        <v>6.8</v>
      </c>
      <c r="AB3" s="62">
        <f t="shared" si="19"/>
        <v>7.8</v>
      </c>
      <c r="AC3" s="62">
        <f t="shared" si="20"/>
        <v>9.9999999999999645E-2</v>
      </c>
      <c r="AD3" s="62" t="str">
        <f t="shared" si="21"/>
        <v/>
      </c>
      <c r="AE3" s="66">
        <f>SUMIF('Teaching Allocations'!$B$2:$B$200,$A3,'Teaching Allocations'!$AI$2:$AI$200)</f>
        <v>479</v>
      </c>
      <c r="AF3" s="62" t="str">
        <f t="shared" si="22"/>
        <v/>
      </c>
      <c r="AH3" s="62">
        <f>SUMIF('Teaching Allocations'!$B$2:$B$200,$A3,'Teaching Allocations'!$AA$2:$AA$200)</f>
        <v>942.26749999999993</v>
      </c>
      <c r="AI3" s="62">
        <f>SUMIF(Supervision!$I$2:$I$153,A3,Supervision!$L$2:$L$153)</f>
        <v>0</v>
      </c>
      <c r="AJ3" s="62">
        <f>SUMIF('Thesis Marking'!$A$2:$A$110,$A3,'Thesis Marking'!$C$2:$C$110)</f>
        <v>0</v>
      </c>
      <c r="AK3" s="62">
        <f>SUMIF('Service Allocations'!$C$2:$C$181,$A3,'Service Allocations'!$F$2:$F$181) + wGC*172.5*H3/46</f>
        <v>215.625</v>
      </c>
      <c r="AL3" s="62">
        <f t="shared" si="23"/>
        <v>1157.8924999999999</v>
      </c>
    </row>
    <row r="4" spans="1:38">
      <c r="A4" s="40" t="s">
        <v>6</v>
      </c>
      <c r="B4" s="120" t="s">
        <v>4</v>
      </c>
      <c r="C4" s="120"/>
      <c r="D4" s="120"/>
      <c r="E4" s="120"/>
      <c r="F4" s="120"/>
      <c r="G4" s="120"/>
      <c r="H4" s="42">
        <v>46</v>
      </c>
      <c r="I4" s="43">
        <f t="shared" si="0"/>
        <v>5.13</v>
      </c>
      <c r="J4" s="12">
        <f t="shared" si="1"/>
        <v>1.2999999999999999E-2</v>
      </c>
      <c r="K4" s="12">
        <f t="shared" si="2"/>
        <v>1.4999999999999999E-2</v>
      </c>
      <c r="L4" s="12">
        <f t="shared" si="3"/>
        <v>5.1579999999999995</v>
      </c>
      <c r="M4" s="62">
        <f t="shared" si="4"/>
        <v>4</v>
      </c>
      <c r="N4" s="62">
        <f t="shared" si="5"/>
        <v>7</v>
      </c>
      <c r="O4" s="62" t="str">
        <f t="shared" si="6"/>
        <v/>
      </c>
      <c r="P4" s="62" t="str">
        <f t="shared" si="7"/>
        <v/>
      </c>
      <c r="Q4" s="12">
        <f t="shared" si="8"/>
        <v>2.0499999999999998</v>
      </c>
      <c r="R4" s="62">
        <f t="shared" si="9"/>
        <v>1</v>
      </c>
      <c r="S4" s="62">
        <f t="shared" si="10"/>
        <v>3</v>
      </c>
      <c r="T4" s="62" t="str">
        <f t="shared" si="11"/>
        <v/>
      </c>
      <c r="U4" s="62" t="str">
        <f t="shared" si="12"/>
        <v/>
      </c>
      <c r="V4" s="12">
        <f t="shared" si="13"/>
        <v>7.2</v>
      </c>
      <c r="W4" s="62">
        <f t="shared" si="14"/>
        <v>5</v>
      </c>
      <c r="X4" s="62">
        <f t="shared" si="15"/>
        <v>8</v>
      </c>
      <c r="Y4" s="62" t="str">
        <f t="shared" si="16"/>
        <v/>
      </c>
      <c r="Z4" s="62" t="str">
        <f t="shared" si="17"/>
        <v/>
      </c>
      <c r="AA4" s="62">
        <f t="shared" si="18"/>
        <v>6.8</v>
      </c>
      <c r="AB4" s="62">
        <f t="shared" si="19"/>
        <v>7.8</v>
      </c>
      <c r="AC4" s="62" t="str">
        <f t="shared" si="20"/>
        <v/>
      </c>
      <c r="AD4" s="62" t="str">
        <f t="shared" si="21"/>
        <v/>
      </c>
      <c r="AE4" s="66">
        <f>SUMIF('Teaching Allocations'!$B$2:$B$200,$A4,'Teaching Allocations'!$AI$2:$AI$200)</f>
        <v>892</v>
      </c>
      <c r="AF4" s="62" t="str">
        <f t="shared" si="22"/>
        <v/>
      </c>
      <c r="AH4" s="62">
        <f>SUMIF('Teaching Allocations'!$B$2:$B$200,$A4,'Teaching Allocations'!$AA$2:$AA$200)</f>
        <v>884.85759999999993</v>
      </c>
      <c r="AI4" s="62">
        <f>SUMIF(Supervision!$I$2:$I$153,A4,Supervision!$L$2:$L$153)</f>
        <v>2.2999999999999998</v>
      </c>
      <c r="AJ4" s="62">
        <f>SUMIF('Thesis Marking'!$A$2:$A$110,$A4,'Thesis Marking'!$C$2:$C$110)</f>
        <v>2.6666666666666665</v>
      </c>
      <c r="AK4" s="62">
        <f>SUMIF('Service Allocations'!$C$2:$C$181,$A4,'Service Allocations'!$F$2:$F$181) + wGC*172.5*H4/46</f>
        <v>353.625</v>
      </c>
      <c r="AL4" s="62">
        <f t="shared" si="23"/>
        <v>1243.4492666666665</v>
      </c>
    </row>
    <row r="5" spans="1:38">
      <c r="A5" s="126" t="s">
        <v>168</v>
      </c>
      <c r="B5" s="120" t="s">
        <v>5</v>
      </c>
      <c r="C5" s="120"/>
      <c r="D5" s="120"/>
      <c r="E5" s="120"/>
      <c r="F5" s="120"/>
      <c r="G5" s="120"/>
      <c r="H5" s="42">
        <v>46</v>
      </c>
      <c r="I5" s="43">
        <f t="shared" si="0"/>
        <v>4.7300000000000004</v>
      </c>
      <c r="J5" s="12">
        <f t="shared" si="1"/>
        <v>7.4999999999999997E-2</v>
      </c>
      <c r="K5" s="12">
        <f t="shared" si="2"/>
        <v>0.124</v>
      </c>
      <c r="L5" s="12">
        <f t="shared" si="3"/>
        <v>4.9290000000000003</v>
      </c>
      <c r="M5" s="62">
        <f t="shared" si="4"/>
        <v>3</v>
      </c>
      <c r="N5" s="62">
        <f t="shared" si="5"/>
        <v>5</v>
      </c>
      <c r="O5" s="62" t="str">
        <f t="shared" si="6"/>
        <v/>
      </c>
      <c r="P5" s="62" t="str">
        <f t="shared" si="7"/>
        <v/>
      </c>
      <c r="Q5" s="12">
        <f t="shared" si="8"/>
        <v>1</v>
      </c>
      <c r="R5" s="62">
        <f t="shared" si="9"/>
        <v>1</v>
      </c>
      <c r="S5" s="62">
        <f t="shared" si="10"/>
        <v>3</v>
      </c>
      <c r="T5" s="62" t="str">
        <f t="shared" si="11"/>
        <v/>
      </c>
      <c r="U5" s="62" t="str">
        <f t="shared" si="12"/>
        <v/>
      </c>
      <c r="V5" s="12">
        <f t="shared" si="13"/>
        <v>5.9</v>
      </c>
      <c r="W5" s="62">
        <f t="shared" si="14"/>
        <v>5</v>
      </c>
      <c r="X5" s="62">
        <f t="shared" si="15"/>
        <v>7</v>
      </c>
      <c r="Y5" s="62" t="str">
        <f t="shared" si="16"/>
        <v/>
      </c>
      <c r="Z5" s="62" t="str">
        <f t="shared" si="17"/>
        <v/>
      </c>
      <c r="AA5" s="62">
        <f t="shared" si="18"/>
        <v>5.8</v>
      </c>
      <c r="AB5" s="62">
        <f t="shared" si="19"/>
        <v>6.8</v>
      </c>
      <c r="AC5" s="62" t="str">
        <f t="shared" si="20"/>
        <v/>
      </c>
      <c r="AD5" s="62" t="str">
        <f t="shared" si="21"/>
        <v/>
      </c>
      <c r="AE5" s="66">
        <f>SUMIF('Teaching Allocations'!$B$2:$B$200,$A5,'Teaching Allocations'!$AI$2:$AI$200)</f>
        <v>475</v>
      </c>
      <c r="AF5" s="62" t="str">
        <f t="shared" si="22"/>
        <v/>
      </c>
      <c r="AH5" s="62">
        <f>SUMIF('Teaching Allocations'!$B$2:$B$200,$A5,'Teaching Allocations'!$AA$2:$AA$200)</f>
        <v>815.9375</v>
      </c>
      <c r="AI5" s="62">
        <f>SUMIF(Supervision!$I$2:$I$153,A5,Supervision!$L$2:$L$153)</f>
        <v>12.879999999999999</v>
      </c>
      <c r="AJ5" s="62">
        <f>SUMIF('Thesis Marking'!$A$2:$A$110,$A5,'Thesis Marking'!$C$2:$C$110)</f>
        <v>21.333333333333332</v>
      </c>
      <c r="AK5" s="62">
        <f>SUMIF('Service Allocations'!$C$2:$C$181,$A5,'Service Allocations'!$F$2:$F$181) + wGC*172.5*H5/46</f>
        <v>172.5</v>
      </c>
      <c r="AL5" s="62">
        <f t="shared" si="23"/>
        <v>1022.6508333333334</v>
      </c>
    </row>
    <row r="6" spans="1:38">
      <c r="A6" s="40" t="s">
        <v>7</v>
      </c>
      <c r="B6" s="120" t="s">
        <v>5</v>
      </c>
      <c r="C6" s="120"/>
      <c r="D6" s="120"/>
      <c r="E6" s="120"/>
      <c r="F6" s="120"/>
      <c r="G6" s="120"/>
      <c r="H6" s="42">
        <v>46</v>
      </c>
      <c r="I6" s="43">
        <f t="shared" si="0"/>
        <v>5.27</v>
      </c>
      <c r="J6" s="12">
        <f t="shared" si="1"/>
        <v>0.252</v>
      </c>
      <c r="K6" s="12">
        <f t="shared" si="2"/>
        <v>9.2999999999999999E-2</v>
      </c>
      <c r="L6" s="12">
        <f t="shared" si="3"/>
        <v>5.6149999999999993</v>
      </c>
      <c r="M6" s="62">
        <f t="shared" si="4"/>
        <v>3</v>
      </c>
      <c r="N6" s="62">
        <f t="shared" si="5"/>
        <v>5</v>
      </c>
      <c r="O6" s="62" t="str">
        <f t="shared" si="6"/>
        <v/>
      </c>
      <c r="P6" s="62">
        <f t="shared" si="7"/>
        <v>0.61499999999999932</v>
      </c>
      <c r="Q6" s="12">
        <f t="shared" si="8"/>
        <v>1</v>
      </c>
      <c r="R6" s="62">
        <f t="shared" si="9"/>
        <v>1</v>
      </c>
      <c r="S6" s="62">
        <f t="shared" si="10"/>
        <v>3</v>
      </c>
      <c r="T6" s="62" t="str">
        <f t="shared" si="11"/>
        <v/>
      </c>
      <c r="U6" s="62" t="str">
        <f t="shared" si="12"/>
        <v/>
      </c>
      <c r="V6" s="12">
        <f t="shared" si="13"/>
        <v>6.6</v>
      </c>
      <c r="W6" s="62">
        <f t="shared" si="14"/>
        <v>5</v>
      </c>
      <c r="X6" s="62">
        <f t="shared" si="15"/>
        <v>7</v>
      </c>
      <c r="Y6" s="62" t="str">
        <f t="shared" si="16"/>
        <v/>
      </c>
      <c r="Z6" s="62" t="str">
        <f t="shared" si="17"/>
        <v/>
      </c>
      <c r="AA6" s="62">
        <f t="shared" si="18"/>
        <v>5.8</v>
      </c>
      <c r="AB6" s="62">
        <f t="shared" si="19"/>
        <v>6.8</v>
      </c>
      <c r="AC6" s="62" t="str">
        <f t="shared" si="20"/>
        <v/>
      </c>
      <c r="AD6" s="62" t="str">
        <f t="shared" si="21"/>
        <v/>
      </c>
      <c r="AE6" s="66">
        <f>SUMIF('Teaching Allocations'!$B$2:$B$200,$A6,'Teaching Allocations'!$AI$2:$AI$200)</f>
        <v>459</v>
      </c>
      <c r="AF6" s="62" t="str">
        <f t="shared" si="22"/>
        <v/>
      </c>
      <c r="AH6" s="62">
        <f>SUMIF('Teaching Allocations'!$B$2:$B$200,$A6,'Teaching Allocations'!$AA$2:$AA$200)</f>
        <v>908.76779999999997</v>
      </c>
      <c r="AI6" s="62">
        <f>SUMIF(Supervision!$I$2:$I$153,A6,Supervision!$L$2:$L$153)</f>
        <v>43.515999999999998</v>
      </c>
      <c r="AJ6" s="62">
        <f>SUMIF('Thesis Marking'!$A$2:$A$110,$A6,'Thesis Marking'!$C$2:$C$110)</f>
        <v>16</v>
      </c>
      <c r="AK6" s="62">
        <f>SUMIF('Service Allocations'!$C$2:$C$181,$A6,'Service Allocations'!$F$2:$F$181) + wGC*172.5*H6/46</f>
        <v>172.5</v>
      </c>
      <c r="AL6" s="62">
        <f t="shared" si="23"/>
        <v>1140.7837999999999</v>
      </c>
    </row>
    <row r="7" spans="1:38">
      <c r="A7" s="41" t="s">
        <v>524</v>
      </c>
      <c r="B7" s="70" t="s">
        <v>525</v>
      </c>
      <c r="F7" s="120"/>
      <c r="H7" s="42">
        <v>43</v>
      </c>
      <c r="I7" s="43">
        <f t="shared" si="0"/>
        <v>1.93</v>
      </c>
      <c r="J7" s="12">
        <f t="shared" si="1"/>
        <v>0</v>
      </c>
      <c r="K7" s="12">
        <f t="shared" si="2"/>
        <v>0.11600000000000001</v>
      </c>
      <c r="L7" s="12">
        <f t="shared" si="3"/>
        <v>2.0459999999999998</v>
      </c>
      <c r="M7" s="62" t="str">
        <f t="shared" si="4"/>
        <v xml:space="preserve"> </v>
      </c>
      <c r="N7" s="62" t="str">
        <f t="shared" si="5"/>
        <v xml:space="preserve"> </v>
      </c>
      <c r="O7" s="62" t="str">
        <f t="shared" si="6"/>
        <v/>
      </c>
      <c r="P7" s="62" t="str">
        <f t="shared" si="7"/>
        <v/>
      </c>
      <c r="Q7" s="12">
        <f t="shared" si="8"/>
        <v>0.70099999999999996</v>
      </c>
      <c r="R7" s="62" t="str">
        <f t="shared" si="9"/>
        <v xml:space="preserve"> </v>
      </c>
      <c r="S7" s="62" t="str">
        <f t="shared" si="10"/>
        <v xml:space="preserve"> </v>
      </c>
      <c r="T7" s="62" t="str">
        <f t="shared" si="11"/>
        <v/>
      </c>
      <c r="U7" s="62" t="str">
        <f t="shared" si="12"/>
        <v/>
      </c>
      <c r="V7" s="12">
        <f t="shared" si="13"/>
        <v>2.7</v>
      </c>
      <c r="W7" s="62" t="str">
        <f t="shared" si="14"/>
        <v xml:space="preserve"> </v>
      </c>
      <c r="X7" s="62" t="str">
        <f t="shared" si="15"/>
        <v xml:space="preserve"> </v>
      </c>
      <c r="Y7" s="62" t="str">
        <f t="shared" si="16"/>
        <v/>
      </c>
      <c r="Z7" s="62" t="str">
        <f t="shared" si="17"/>
        <v/>
      </c>
      <c r="AA7" s="62" t="str">
        <f t="shared" si="18"/>
        <v xml:space="preserve"> </v>
      </c>
      <c r="AB7" s="62" t="str">
        <f t="shared" si="19"/>
        <v xml:space="preserve"> </v>
      </c>
      <c r="AC7" s="62" t="str">
        <f t="shared" si="20"/>
        <v/>
      </c>
      <c r="AD7" s="62" t="str">
        <f t="shared" si="21"/>
        <v/>
      </c>
      <c r="AE7" s="66">
        <f>SUMIF('Teaching Allocations'!$B$2:$B$200,$A7,'Teaching Allocations'!$AI$2:$AI$200)</f>
        <v>256</v>
      </c>
      <c r="AF7" s="62" t="str">
        <f t="shared" si="22"/>
        <v/>
      </c>
      <c r="AG7" s="176" t="s">
        <v>820</v>
      </c>
      <c r="AH7" s="62">
        <f>SUMIF('Teaching Allocations'!$B$2:$B$200,$A7,'Teaching Allocations'!$AA$2:$AA$200)</f>
        <v>332.12</v>
      </c>
      <c r="AI7" s="62">
        <f>SUMIF(Supervision!$I$2:$I$153,A7,Supervision!$L$2:$L$153)</f>
        <v>0</v>
      </c>
      <c r="AJ7" s="62">
        <f>SUMIF('Thesis Marking'!$A$2:$A$110,$A7,'Thesis Marking'!$C$2:$C$110)</f>
        <v>20</v>
      </c>
      <c r="AK7" s="62">
        <f>SUMIF('Service Allocations'!$C$2:$C$181,$A7,'Service Allocations'!$F$2:$F$181) + wGC*172.5*H7/46</f>
        <v>120.9375</v>
      </c>
      <c r="AL7" s="62">
        <f t="shared" si="23"/>
        <v>473.0575</v>
      </c>
    </row>
    <row r="8" spans="1:38">
      <c r="A8" s="40" t="s">
        <v>129</v>
      </c>
      <c r="B8" s="120" t="s">
        <v>5</v>
      </c>
      <c r="C8" s="120"/>
      <c r="D8" s="120"/>
      <c r="E8" s="120"/>
      <c r="F8" s="120"/>
      <c r="G8" s="120"/>
      <c r="H8" s="42">
        <v>38</v>
      </c>
      <c r="I8" s="43">
        <f t="shared" si="0"/>
        <v>3.83</v>
      </c>
      <c r="J8" s="12">
        <f t="shared" si="1"/>
        <v>0.08</v>
      </c>
      <c r="K8" s="12">
        <f t="shared" si="2"/>
        <v>4.5999999999999999E-2</v>
      </c>
      <c r="L8" s="12">
        <f t="shared" si="3"/>
        <v>3.956</v>
      </c>
      <c r="M8" s="62">
        <f t="shared" si="4"/>
        <v>2.4782608695652173</v>
      </c>
      <c r="N8" s="62">
        <f t="shared" si="5"/>
        <v>4.1304347826086953</v>
      </c>
      <c r="O8" s="62" t="str">
        <f t="shared" si="6"/>
        <v/>
      </c>
      <c r="P8" s="62" t="str">
        <f t="shared" si="7"/>
        <v/>
      </c>
      <c r="Q8" s="12">
        <f t="shared" si="8"/>
        <v>1.02</v>
      </c>
      <c r="R8" s="62">
        <f t="shared" si="9"/>
        <v>0.82608695652173914</v>
      </c>
      <c r="S8" s="62">
        <f t="shared" si="10"/>
        <v>2.4782608695652173</v>
      </c>
      <c r="T8" s="62" t="str">
        <f t="shared" si="11"/>
        <v/>
      </c>
      <c r="U8" s="62" t="str">
        <f t="shared" si="12"/>
        <v/>
      </c>
      <c r="V8" s="12">
        <f t="shared" si="13"/>
        <v>5</v>
      </c>
      <c r="W8" s="62">
        <f t="shared" si="14"/>
        <v>4.1304347826086953</v>
      </c>
      <c r="X8" s="62">
        <f t="shared" si="15"/>
        <v>5.7826086956521738</v>
      </c>
      <c r="Y8" s="62" t="str">
        <f t="shared" si="16"/>
        <v/>
      </c>
      <c r="Z8" s="62" t="str">
        <f t="shared" si="17"/>
        <v/>
      </c>
      <c r="AA8" s="62">
        <f t="shared" si="18"/>
        <v>4.7913043478260873</v>
      </c>
      <c r="AB8" s="62">
        <f t="shared" si="19"/>
        <v>5.6173913043478256</v>
      </c>
      <c r="AC8" s="62" t="str">
        <f t="shared" si="20"/>
        <v/>
      </c>
      <c r="AD8" s="62" t="str">
        <f t="shared" si="21"/>
        <v/>
      </c>
      <c r="AE8" s="66">
        <f>SUMIF('Teaching Allocations'!$B$2:$B$200,$A8,'Teaching Allocations'!$AI$2:$AI$200)</f>
        <v>208</v>
      </c>
      <c r="AF8" s="62" t="str">
        <f t="shared" si="22"/>
        <v/>
      </c>
      <c r="AG8" s="176" t="s">
        <v>813</v>
      </c>
      <c r="AH8" s="62">
        <f>SUMIF('Teaching Allocations'!$B$2:$B$200,$A8,'Teaching Allocations'!$AA$2:$AA$200)</f>
        <v>661.16000000000008</v>
      </c>
      <c r="AI8" s="62">
        <f>SUMIF(Supervision!$I$2:$I$153,A8,Supervision!$L$2:$L$153)</f>
        <v>13.799999999999999</v>
      </c>
      <c r="AJ8" s="62">
        <f>SUMIF('Thesis Marking'!$A$2:$A$110,$A8,'Thesis Marking'!$C$2:$C$110)</f>
        <v>8</v>
      </c>
      <c r="AK8" s="62">
        <f>SUMIF('Service Allocations'!$C$2:$C$181,$A8,'Service Allocations'!$F$2:$F$181) + wGC*172.5*H8/46</f>
        <v>175.875</v>
      </c>
      <c r="AL8" s="62">
        <f t="shared" si="23"/>
        <v>858.83500000000004</v>
      </c>
    </row>
    <row r="9" spans="1:38" ht="15.75" customHeight="1">
      <c r="A9" s="40" t="s">
        <v>8</v>
      </c>
      <c r="B9" s="120" t="s">
        <v>5</v>
      </c>
      <c r="C9" s="120"/>
      <c r="D9" s="120"/>
      <c r="E9" s="120"/>
      <c r="F9" s="120"/>
      <c r="G9" s="120"/>
      <c r="H9" s="42">
        <v>46</v>
      </c>
      <c r="I9" s="43">
        <f t="shared" si="0"/>
        <v>2.61</v>
      </c>
      <c r="J9" s="12">
        <f t="shared" si="1"/>
        <v>5.2999999999999999E-2</v>
      </c>
      <c r="K9" s="12">
        <f t="shared" si="2"/>
        <v>4.5999999999999999E-2</v>
      </c>
      <c r="L9" s="12">
        <f t="shared" si="3"/>
        <v>2.7089999999999996</v>
      </c>
      <c r="M9" s="62">
        <f t="shared" si="4"/>
        <v>3</v>
      </c>
      <c r="N9" s="62">
        <f t="shared" si="5"/>
        <v>5</v>
      </c>
      <c r="O9" s="62">
        <f t="shared" si="6"/>
        <v>0.29100000000000037</v>
      </c>
      <c r="P9" s="62" t="str">
        <f t="shared" si="7"/>
        <v/>
      </c>
      <c r="Q9" s="12">
        <f t="shared" si="8"/>
        <v>3.35</v>
      </c>
      <c r="R9" s="62">
        <f t="shared" si="9"/>
        <v>1</v>
      </c>
      <c r="S9" s="62">
        <f t="shared" si="10"/>
        <v>3</v>
      </c>
      <c r="T9" s="62" t="str">
        <f t="shared" si="11"/>
        <v/>
      </c>
      <c r="U9" s="62">
        <f t="shared" si="12"/>
        <v>0.35000000000000009</v>
      </c>
      <c r="V9" s="12">
        <f t="shared" si="13"/>
        <v>6.1</v>
      </c>
      <c r="W9" s="62">
        <f t="shared" si="14"/>
        <v>5</v>
      </c>
      <c r="X9" s="62">
        <f t="shared" si="15"/>
        <v>7</v>
      </c>
      <c r="Y9" s="62" t="str">
        <f t="shared" si="16"/>
        <v/>
      </c>
      <c r="Z9" s="62" t="str">
        <f t="shared" si="17"/>
        <v/>
      </c>
      <c r="AA9" s="62">
        <f t="shared" si="18"/>
        <v>5.8</v>
      </c>
      <c r="AB9" s="62">
        <f t="shared" si="19"/>
        <v>6.8</v>
      </c>
      <c r="AC9" s="62" t="str">
        <f t="shared" si="20"/>
        <v/>
      </c>
      <c r="AD9" s="62" t="str">
        <f t="shared" si="21"/>
        <v/>
      </c>
      <c r="AE9" s="66">
        <f>SUMIF('Teaching Allocations'!$B$2:$B$200,$A9,'Teaching Allocations'!$AI$2:$AI$200)</f>
        <v>50</v>
      </c>
      <c r="AF9" s="62" t="str">
        <f t="shared" si="22"/>
        <v>Y</v>
      </c>
      <c r="AH9" s="62">
        <f>SUMIF('Teaching Allocations'!$B$2:$B$200,$A9,'Teaching Allocations'!$AA$2:$AA$200)</f>
        <v>450.5</v>
      </c>
      <c r="AI9" s="62">
        <f>SUMIF(Supervision!$I$2:$I$153,A9,Supervision!$L$2:$L$153)</f>
        <v>9.1999999999999993</v>
      </c>
      <c r="AJ9" s="62">
        <f>SUMIF('Thesis Marking'!$A$2:$A$110,$A9,'Thesis Marking'!$C$2:$C$110)</f>
        <v>8</v>
      </c>
      <c r="AK9" s="62">
        <f>SUMIF('Service Allocations'!$C$2:$C$181,$A9,'Service Allocations'!$F$2:$F$181) + wGC*172.5*H9/46</f>
        <v>577.875</v>
      </c>
      <c r="AL9" s="62">
        <f t="shared" si="23"/>
        <v>1045.575</v>
      </c>
    </row>
    <row r="10" spans="1:38">
      <c r="A10" s="35" t="s">
        <v>9</v>
      </c>
      <c r="B10" s="120" t="s">
        <v>5</v>
      </c>
      <c r="C10" s="120"/>
      <c r="D10" s="120"/>
      <c r="E10" s="120"/>
      <c r="F10" s="120"/>
      <c r="G10" s="120"/>
      <c r="H10" s="42">
        <v>44</v>
      </c>
      <c r="I10" s="43">
        <f t="shared" si="0"/>
        <v>3.92</v>
      </c>
      <c r="J10" s="12">
        <f t="shared" si="1"/>
        <v>0.54100000000000004</v>
      </c>
      <c r="K10" s="12">
        <f t="shared" si="2"/>
        <v>3.1E-2</v>
      </c>
      <c r="L10" s="12">
        <f t="shared" si="3"/>
        <v>4.492</v>
      </c>
      <c r="M10" s="62">
        <f t="shared" si="4"/>
        <v>2.8695652173913042</v>
      </c>
      <c r="N10" s="62">
        <f t="shared" si="5"/>
        <v>4.7826086956521738</v>
      </c>
      <c r="O10" s="62" t="str">
        <f t="shared" si="6"/>
        <v/>
      </c>
      <c r="P10" s="62" t="str">
        <f t="shared" si="7"/>
        <v/>
      </c>
      <c r="Q10" s="12">
        <f t="shared" si="8"/>
        <v>1.5409999999999999</v>
      </c>
      <c r="R10" s="62">
        <f t="shared" si="9"/>
        <v>0.95652173913043481</v>
      </c>
      <c r="S10" s="62">
        <f t="shared" si="10"/>
        <v>2.8695652173913042</v>
      </c>
      <c r="T10" s="62" t="str">
        <f t="shared" si="11"/>
        <v/>
      </c>
      <c r="U10" s="62" t="str">
        <f t="shared" si="12"/>
        <v/>
      </c>
      <c r="V10" s="12">
        <f t="shared" si="13"/>
        <v>6</v>
      </c>
      <c r="W10" s="62">
        <f t="shared" si="14"/>
        <v>4.7826086956521738</v>
      </c>
      <c r="X10" s="62">
        <f t="shared" si="15"/>
        <v>6.6956521739130439</v>
      </c>
      <c r="Y10" s="62" t="str">
        <f t="shared" si="16"/>
        <v/>
      </c>
      <c r="Z10" s="62" t="str">
        <f t="shared" si="17"/>
        <v/>
      </c>
      <c r="AA10" s="62">
        <f t="shared" si="18"/>
        <v>5.5478260869565217</v>
      </c>
      <c r="AB10" s="62">
        <f t="shared" si="19"/>
        <v>6.5043478260869563</v>
      </c>
      <c r="AC10" s="62" t="str">
        <f t="shared" si="20"/>
        <v/>
      </c>
      <c r="AD10" s="62" t="str">
        <f t="shared" si="21"/>
        <v/>
      </c>
      <c r="AE10" s="66">
        <f>SUMIF('Teaching Allocations'!$B$2:$B$200,$A10,'Teaching Allocations'!$AI$2:$AI$200)</f>
        <v>59</v>
      </c>
      <c r="AF10" s="62" t="str">
        <f t="shared" si="22"/>
        <v>Y</v>
      </c>
      <c r="AG10" s="176" t="s">
        <v>814</v>
      </c>
      <c r="AH10" s="62">
        <f>SUMIF('Teaching Allocations'!$B$2:$B$200,$A10,'Teaching Allocations'!$AA$2:$AA$200)</f>
        <v>676.24250000000006</v>
      </c>
      <c r="AI10" s="62">
        <f>SUMIF(Supervision!$I$2:$I$153,A10,Supervision!$L$2:$L$153)</f>
        <v>93.38</v>
      </c>
      <c r="AJ10" s="62">
        <f>SUMIF('Thesis Marking'!$A$2:$A$110,$A10,'Thesis Marking'!$C$2:$C$110)</f>
        <v>5.333333333333333</v>
      </c>
      <c r="AK10" s="62">
        <f>SUMIF('Service Allocations'!$C$2:$C$181,$A10,'Service Allocations'!$F$2:$F$181) + wGC*172.5*H10/46</f>
        <v>265.875</v>
      </c>
      <c r="AL10" s="62">
        <f t="shared" si="23"/>
        <v>1040.8308333333334</v>
      </c>
    </row>
    <row r="11" spans="1:38">
      <c r="A11" s="126" t="s">
        <v>128</v>
      </c>
      <c r="B11" s="120" t="s">
        <v>5</v>
      </c>
      <c r="C11" s="120"/>
      <c r="D11" s="120"/>
      <c r="E11" s="120"/>
      <c r="F11" s="120"/>
      <c r="G11" s="120"/>
      <c r="H11" s="42">
        <v>38</v>
      </c>
      <c r="I11" s="43">
        <f t="shared" si="0"/>
        <v>1.62</v>
      </c>
      <c r="J11" s="12">
        <f t="shared" si="1"/>
        <v>0.64300000000000002</v>
      </c>
      <c r="K11" s="12">
        <f t="shared" si="2"/>
        <v>7.6999999999999999E-2</v>
      </c>
      <c r="L11" s="12">
        <f t="shared" si="3"/>
        <v>2.34</v>
      </c>
      <c r="M11" s="62">
        <f t="shared" si="4"/>
        <v>2.4782608695652173</v>
      </c>
      <c r="N11" s="62">
        <f t="shared" si="5"/>
        <v>4.1304347826086953</v>
      </c>
      <c r="O11" s="62">
        <f t="shared" si="6"/>
        <v>0.13826086956521744</v>
      </c>
      <c r="P11" s="62" t="str">
        <f t="shared" si="7"/>
        <v/>
      </c>
      <c r="Q11" s="12">
        <f t="shared" si="8"/>
        <v>2.87</v>
      </c>
      <c r="R11" s="62">
        <f t="shared" si="9"/>
        <v>0.82608695652173914</v>
      </c>
      <c r="S11" s="62">
        <f t="shared" si="10"/>
        <v>2.4782608695652173</v>
      </c>
      <c r="T11" s="62" t="str">
        <f t="shared" si="11"/>
        <v/>
      </c>
      <c r="U11" s="62">
        <f t="shared" si="12"/>
        <v>0.39173913043478281</v>
      </c>
      <c r="V11" s="12">
        <f t="shared" si="13"/>
        <v>5.2</v>
      </c>
      <c r="W11" s="62">
        <f t="shared" si="14"/>
        <v>4.1304347826086953</v>
      </c>
      <c r="X11" s="62">
        <f t="shared" si="15"/>
        <v>5.7826086956521738</v>
      </c>
      <c r="Y11" s="62" t="str">
        <f t="shared" si="16"/>
        <v/>
      </c>
      <c r="Z11" s="62" t="str">
        <f t="shared" si="17"/>
        <v/>
      </c>
      <c r="AA11" s="62">
        <f t="shared" si="18"/>
        <v>4.7913043478260873</v>
      </c>
      <c r="AB11" s="62">
        <f t="shared" si="19"/>
        <v>5.6173913043478256</v>
      </c>
      <c r="AC11" s="62" t="str">
        <f t="shared" si="20"/>
        <v/>
      </c>
      <c r="AD11" s="62" t="str">
        <f t="shared" si="21"/>
        <v/>
      </c>
      <c r="AE11" s="66">
        <f>SUMIF('Teaching Allocations'!$B$2:$B$200,$A11,'Teaching Allocations'!$AI$2:$AI$200)</f>
        <v>30</v>
      </c>
      <c r="AF11" s="62" t="str">
        <f t="shared" si="22"/>
        <v>Y</v>
      </c>
      <c r="AG11" s="176" t="s">
        <v>813</v>
      </c>
      <c r="AH11" s="62">
        <f>SUMIF('Teaching Allocations'!$B$2:$B$200,$A11,'Teaching Allocations'!$AA$2:$AA$200)</f>
        <v>278.97500000000002</v>
      </c>
      <c r="AI11" s="62">
        <f>SUMIF(Supervision!$I$2:$I$153,A11,Supervision!$L$2:$L$153)</f>
        <v>110.85999999999999</v>
      </c>
      <c r="AJ11" s="62">
        <f>SUMIF('Thesis Marking'!$A$2:$A$110,$A11,'Thesis Marking'!$C$2:$C$110)</f>
        <v>13.333333333333334</v>
      </c>
      <c r="AK11" s="62">
        <f>SUMIF('Service Allocations'!$C$2:$C$181,$A11,'Service Allocations'!$F$2:$F$181) + wGC*172.5*H11/46</f>
        <v>495</v>
      </c>
      <c r="AL11" s="62">
        <f t="shared" si="23"/>
        <v>898.16833333333329</v>
      </c>
    </row>
    <row r="12" spans="1:38">
      <c r="A12" s="40" t="s">
        <v>10</v>
      </c>
      <c r="B12" s="120" t="s">
        <v>5</v>
      </c>
      <c r="C12" s="120"/>
      <c r="D12" s="120"/>
      <c r="E12" s="120"/>
      <c r="F12" s="120"/>
      <c r="G12" s="120"/>
      <c r="H12" s="42">
        <v>46</v>
      </c>
      <c r="I12" s="64">
        <f t="shared" si="0"/>
        <v>3.27</v>
      </c>
      <c r="J12" s="12">
        <f t="shared" si="1"/>
        <v>0.51700000000000002</v>
      </c>
      <c r="K12" s="12">
        <f t="shared" si="2"/>
        <v>3.1E-2</v>
      </c>
      <c r="L12" s="12">
        <f t="shared" si="3"/>
        <v>3.8180000000000001</v>
      </c>
      <c r="M12" s="62">
        <f t="shared" si="4"/>
        <v>3</v>
      </c>
      <c r="N12" s="62">
        <f t="shared" si="5"/>
        <v>5</v>
      </c>
      <c r="O12" s="62" t="str">
        <f t="shared" si="6"/>
        <v/>
      </c>
      <c r="P12" s="62" t="str">
        <f t="shared" si="7"/>
        <v/>
      </c>
      <c r="Q12" s="12">
        <f t="shared" si="8"/>
        <v>2.15</v>
      </c>
      <c r="R12" s="62">
        <f t="shared" si="9"/>
        <v>1</v>
      </c>
      <c r="S12" s="62">
        <f t="shared" si="10"/>
        <v>3</v>
      </c>
      <c r="T12" s="62" t="str">
        <f t="shared" si="11"/>
        <v/>
      </c>
      <c r="U12" s="62" t="str">
        <f t="shared" si="12"/>
        <v/>
      </c>
      <c r="V12" s="12">
        <f t="shared" si="13"/>
        <v>6</v>
      </c>
      <c r="W12" s="62">
        <f t="shared" si="14"/>
        <v>5</v>
      </c>
      <c r="X12" s="62">
        <f t="shared" si="15"/>
        <v>7</v>
      </c>
      <c r="Y12" s="62" t="str">
        <f t="shared" si="16"/>
        <v/>
      </c>
      <c r="Z12" s="62" t="str">
        <f t="shared" si="17"/>
        <v/>
      </c>
      <c r="AA12" s="62">
        <f t="shared" si="18"/>
        <v>5.8</v>
      </c>
      <c r="AB12" s="62">
        <f t="shared" si="19"/>
        <v>6.8</v>
      </c>
      <c r="AC12" s="62" t="str">
        <f t="shared" si="20"/>
        <v/>
      </c>
      <c r="AD12" s="62" t="str">
        <f t="shared" si="21"/>
        <v/>
      </c>
      <c r="AE12" s="66">
        <f>SUMIF('Teaching Allocations'!$B$2:$B$200,$A12,'Teaching Allocations'!$AI$2:$AI$200)</f>
        <v>188</v>
      </c>
      <c r="AF12" s="62" t="str">
        <f t="shared" si="22"/>
        <v/>
      </c>
      <c r="AH12" s="62">
        <f>SUMIF('Teaching Allocations'!$B$2:$B$200,$A12,'Teaching Allocations'!$AA$2:$AA$200)</f>
        <v>564.51</v>
      </c>
      <c r="AI12" s="62">
        <f>SUMIF(Supervision!$I$2:$I$153,A12,Supervision!$L$2:$L$153)</f>
        <v>89.24</v>
      </c>
      <c r="AJ12" s="62">
        <f>SUMIF('Thesis Marking'!$A$2:$A$110,$A12,'Thesis Marking'!$C$2:$C$110)</f>
        <v>5.333333333333333</v>
      </c>
      <c r="AK12" s="62">
        <f>SUMIF('Service Allocations'!$C$2:$C$181,$A12,'Service Allocations'!$F$2:$F$181) + wGC*172.5*H12/46</f>
        <v>370.875</v>
      </c>
      <c r="AL12" s="62">
        <f t="shared" si="23"/>
        <v>1029.9583333333335</v>
      </c>
    </row>
    <row r="13" spans="1:38">
      <c r="A13" s="40" t="s">
        <v>269</v>
      </c>
      <c r="B13" s="120" t="s">
        <v>5</v>
      </c>
      <c r="C13" s="120"/>
      <c r="D13" s="120"/>
      <c r="E13" s="120"/>
      <c r="F13" s="120"/>
      <c r="G13" s="120"/>
      <c r="H13" s="42">
        <v>46</v>
      </c>
      <c r="I13" s="43">
        <f t="shared" si="0"/>
        <v>4.71</v>
      </c>
      <c r="J13" s="12">
        <f t="shared" si="1"/>
        <v>0.17599999999999999</v>
      </c>
      <c r="K13" s="12">
        <f t="shared" si="2"/>
        <v>3.1E-2</v>
      </c>
      <c r="L13" s="12">
        <f t="shared" si="3"/>
        <v>4.9169999999999998</v>
      </c>
      <c r="M13" s="62">
        <f t="shared" si="4"/>
        <v>3</v>
      </c>
      <c r="N13" s="62">
        <f t="shared" si="5"/>
        <v>5</v>
      </c>
      <c r="O13" s="62" t="str">
        <f t="shared" si="6"/>
        <v/>
      </c>
      <c r="P13" s="62" t="str">
        <f t="shared" si="7"/>
        <v/>
      </c>
      <c r="Q13" s="12">
        <f t="shared" si="8"/>
        <v>0.95</v>
      </c>
      <c r="R13" s="62">
        <f t="shared" si="9"/>
        <v>1</v>
      </c>
      <c r="S13" s="62">
        <f t="shared" si="10"/>
        <v>3</v>
      </c>
      <c r="T13" s="62">
        <f t="shared" si="11"/>
        <v>5.0000000000000044E-2</v>
      </c>
      <c r="U13" s="62" t="str">
        <f t="shared" si="12"/>
        <v/>
      </c>
      <c r="V13" s="12">
        <f t="shared" si="13"/>
        <v>5.9</v>
      </c>
      <c r="W13" s="62">
        <f t="shared" si="14"/>
        <v>5</v>
      </c>
      <c r="X13" s="62">
        <f t="shared" si="15"/>
        <v>7</v>
      </c>
      <c r="Y13" s="62" t="str">
        <f t="shared" si="16"/>
        <v/>
      </c>
      <c r="Z13" s="62" t="str">
        <f t="shared" si="17"/>
        <v/>
      </c>
      <c r="AA13" s="62">
        <f t="shared" si="18"/>
        <v>5.8</v>
      </c>
      <c r="AB13" s="62">
        <f t="shared" si="19"/>
        <v>6.8</v>
      </c>
      <c r="AC13" s="62" t="str">
        <f t="shared" si="20"/>
        <v/>
      </c>
      <c r="AD13" s="62" t="str">
        <f t="shared" si="21"/>
        <v/>
      </c>
      <c r="AE13" s="66">
        <f>SUMIF('Teaching Allocations'!$B$2:$B$200,$A13,'Teaching Allocations'!$AI$2:$AI$200)</f>
        <v>474</v>
      </c>
      <c r="AF13" s="62" t="str">
        <f t="shared" si="22"/>
        <v/>
      </c>
      <c r="AH13" s="62">
        <f>SUMIF('Teaching Allocations'!$B$2:$B$200,$A13,'Teaching Allocations'!$AA$2:$AA$200)</f>
        <v>812.8175</v>
      </c>
      <c r="AI13" s="62">
        <f>SUMIF(Supervision!$I$2:$I$153,A13,Supervision!$L$2:$L$153)</f>
        <v>30.36</v>
      </c>
      <c r="AJ13" s="62">
        <f>SUMIF('Thesis Marking'!$A$2:$A$110,$A13,'Thesis Marking'!$C$2:$C$110)</f>
        <v>5.333333333333333</v>
      </c>
      <c r="AK13" s="62">
        <f>SUMIF('Service Allocations'!$C$2:$C$181,$A13,'Service Allocations'!$F$2:$F$181) + wGC*172.5*H13/46</f>
        <v>163.875</v>
      </c>
      <c r="AL13" s="62">
        <f t="shared" si="23"/>
        <v>1012.3858333333334</v>
      </c>
    </row>
    <row r="14" spans="1:38" ht="15.75" customHeight="1">
      <c r="A14" s="40" t="s">
        <v>11</v>
      </c>
      <c r="B14" s="120" t="s">
        <v>5</v>
      </c>
      <c r="C14" s="120"/>
      <c r="D14" s="120"/>
      <c r="E14" s="120"/>
      <c r="F14" s="120"/>
      <c r="G14" s="120"/>
      <c r="H14" s="42">
        <v>41</v>
      </c>
      <c r="I14" s="43">
        <f t="shared" si="0"/>
        <v>4.25</v>
      </c>
      <c r="J14" s="12">
        <f t="shared" si="1"/>
        <v>0.307</v>
      </c>
      <c r="K14" s="12">
        <f t="shared" si="2"/>
        <v>0.108</v>
      </c>
      <c r="L14" s="12">
        <f t="shared" si="3"/>
        <v>4.665</v>
      </c>
      <c r="M14" s="62">
        <f t="shared" si="4"/>
        <v>2.6739130434782608</v>
      </c>
      <c r="N14" s="62">
        <f t="shared" si="5"/>
        <v>4.4565217391304346</v>
      </c>
      <c r="O14" s="62" t="str">
        <f t="shared" si="6"/>
        <v/>
      </c>
      <c r="P14" s="62">
        <f t="shared" si="7"/>
        <v>0.20847826086956545</v>
      </c>
      <c r="Q14" s="12">
        <f t="shared" si="8"/>
        <v>1.56</v>
      </c>
      <c r="R14" s="62">
        <f t="shared" si="9"/>
        <v>0.89130434782608692</v>
      </c>
      <c r="S14" s="62">
        <f t="shared" si="10"/>
        <v>2.6739130434782608</v>
      </c>
      <c r="T14" s="62" t="str">
        <f t="shared" si="11"/>
        <v/>
      </c>
      <c r="U14" s="62" t="str">
        <f t="shared" si="12"/>
        <v/>
      </c>
      <c r="V14" s="12">
        <f t="shared" si="13"/>
        <v>6.2</v>
      </c>
      <c r="W14" s="62">
        <f t="shared" si="14"/>
        <v>4.4565217391304346</v>
      </c>
      <c r="X14" s="62">
        <f t="shared" si="15"/>
        <v>6.2391304347826084</v>
      </c>
      <c r="Y14" s="62" t="str">
        <f t="shared" si="16"/>
        <v/>
      </c>
      <c r="Z14" s="62" t="str">
        <f t="shared" si="17"/>
        <v/>
      </c>
      <c r="AA14" s="62">
        <f t="shared" si="18"/>
        <v>5.1695652173913036</v>
      </c>
      <c r="AB14" s="62">
        <f t="shared" si="19"/>
        <v>6.0608695652173914</v>
      </c>
      <c r="AC14" s="62" t="str">
        <f t="shared" si="20"/>
        <v/>
      </c>
      <c r="AD14" s="62">
        <f t="shared" si="21"/>
        <v>0.13913043478260878</v>
      </c>
      <c r="AE14" s="66">
        <f>SUMIF('Teaching Allocations'!$B$2:$B$200,$A14,'Teaching Allocations'!$AI$2:$AI$200)</f>
        <v>473</v>
      </c>
      <c r="AF14" s="62" t="str">
        <f t="shared" si="22"/>
        <v/>
      </c>
      <c r="AG14" s="176" t="s">
        <v>814</v>
      </c>
      <c r="AH14" s="62">
        <f>SUMIF('Teaching Allocations'!$B$2:$B$200,$A14,'Teaching Allocations'!$AA$2:$AA$200)</f>
        <v>733.77509999999995</v>
      </c>
      <c r="AI14" s="62">
        <f>SUMIF(Supervision!$I$2:$I$153,A14,Supervision!$L$2:$L$153)</f>
        <v>52.9</v>
      </c>
      <c r="AJ14" s="62">
        <f>SUMIF('Thesis Marking'!$A$2:$A$110,$A14,'Thesis Marking'!$C$2:$C$110)</f>
        <v>18.666666666666668</v>
      </c>
      <c r="AK14" s="62">
        <f>SUMIF('Service Allocations'!$C$2:$C$181,$A14,'Service Allocations'!$F$2:$F$181) + wGC*172.5*H14/46</f>
        <v>269.0625</v>
      </c>
      <c r="AL14" s="62">
        <f t="shared" si="23"/>
        <v>1074.4042666666664</v>
      </c>
    </row>
    <row r="15" spans="1:38">
      <c r="A15" s="41" t="s">
        <v>294</v>
      </c>
      <c r="B15" s="70" t="s">
        <v>292</v>
      </c>
      <c r="F15" s="120"/>
      <c r="H15" s="42">
        <v>46</v>
      </c>
      <c r="I15" s="43">
        <f t="shared" si="0"/>
        <v>0.35</v>
      </c>
      <c r="J15" s="12">
        <f t="shared" si="1"/>
        <v>0.04</v>
      </c>
      <c r="K15" s="12">
        <f t="shared" si="2"/>
        <v>0</v>
      </c>
      <c r="L15" s="12">
        <f t="shared" si="3"/>
        <v>0.38999999999999996</v>
      </c>
      <c r="M15" s="62" t="str">
        <f t="shared" si="4"/>
        <v xml:space="preserve"> </v>
      </c>
      <c r="N15" s="62" t="str">
        <f t="shared" si="5"/>
        <v xml:space="preserve"> </v>
      </c>
      <c r="O15" s="62" t="str">
        <f t="shared" si="6"/>
        <v/>
      </c>
      <c r="P15" s="62" t="str">
        <f t="shared" si="7"/>
        <v/>
      </c>
      <c r="Q15" s="12">
        <f t="shared" si="8"/>
        <v>1.25</v>
      </c>
      <c r="R15" s="62" t="str">
        <f t="shared" si="9"/>
        <v xml:space="preserve"> </v>
      </c>
      <c r="S15" s="62" t="str">
        <f t="shared" si="10"/>
        <v xml:space="preserve"> </v>
      </c>
      <c r="T15" s="62" t="str">
        <f t="shared" si="11"/>
        <v/>
      </c>
      <c r="U15" s="62" t="str">
        <f t="shared" si="12"/>
        <v/>
      </c>
      <c r="V15" s="12">
        <f t="shared" si="13"/>
        <v>1.6</v>
      </c>
      <c r="W15" s="62" t="str">
        <f t="shared" si="14"/>
        <v xml:space="preserve"> </v>
      </c>
      <c r="X15" s="62" t="str">
        <f t="shared" si="15"/>
        <v xml:space="preserve"> </v>
      </c>
      <c r="Y15" s="62" t="str">
        <f t="shared" si="16"/>
        <v/>
      </c>
      <c r="Z15" s="62" t="str">
        <f t="shared" si="17"/>
        <v/>
      </c>
      <c r="AA15" s="62" t="str">
        <f t="shared" si="18"/>
        <v xml:space="preserve"> </v>
      </c>
      <c r="AB15" s="62" t="str">
        <f t="shared" si="19"/>
        <v xml:space="preserve"> </v>
      </c>
      <c r="AC15" s="62" t="str">
        <f t="shared" si="20"/>
        <v/>
      </c>
      <c r="AD15" s="62" t="str">
        <f t="shared" si="21"/>
        <v/>
      </c>
      <c r="AE15" s="66">
        <f>SUMIF('Teaching Allocations'!$B$2:$B$200,$A15,'Teaching Allocations'!$AI$2:$AI$200)</f>
        <v>6</v>
      </c>
      <c r="AF15" s="62" t="str">
        <f t="shared" si="22"/>
        <v/>
      </c>
      <c r="AH15" s="62">
        <f>SUMIF('Teaching Allocations'!$B$2:$B$200,$A15,'Teaching Allocations'!$AA$2:$AA$200)</f>
        <v>59.72538461538462</v>
      </c>
      <c r="AI15" s="62">
        <f>SUMIF(Supervision!$I$2:$I$153,A15,Supervision!$L$2:$L$153)</f>
        <v>6.8999999999999995</v>
      </c>
      <c r="AJ15" s="62">
        <f>SUMIF('Thesis Marking'!$A$2:$A$110,$A15,'Thesis Marking'!$C$2:$C$110)</f>
        <v>0</v>
      </c>
      <c r="AK15" s="62">
        <f>SUMIF('Service Allocations'!$C$2:$C$181,$A15,'Service Allocations'!$F$2:$F$181) + wGC*172.5*H15/46</f>
        <v>215.625</v>
      </c>
      <c r="AL15" s="62">
        <f t="shared" si="23"/>
        <v>282.25038461538463</v>
      </c>
    </row>
    <row r="16" spans="1:38">
      <c r="A16" s="126" t="s">
        <v>130</v>
      </c>
      <c r="B16" s="120" t="s">
        <v>5</v>
      </c>
      <c r="C16" s="120"/>
      <c r="D16" s="120"/>
      <c r="E16" s="120"/>
      <c r="F16" s="120"/>
      <c r="G16" s="120"/>
      <c r="H16" s="42">
        <v>46</v>
      </c>
      <c r="I16" s="43">
        <f t="shared" si="0"/>
        <v>5.0199999999999996</v>
      </c>
      <c r="J16" s="12">
        <f t="shared" si="1"/>
        <v>0.53300000000000003</v>
      </c>
      <c r="K16" s="12">
        <f t="shared" si="2"/>
        <v>0.124</v>
      </c>
      <c r="L16" s="12">
        <f t="shared" si="3"/>
        <v>5.6769999999999996</v>
      </c>
      <c r="M16" s="62">
        <f t="shared" si="4"/>
        <v>3</v>
      </c>
      <c r="N16" s="62">
        <f t="shared" si="5"/>
        <v>5</v>
      </c>
      <c r="O16" s="62" t="str">
        <f t="shared" si="6"/>
        <v/>
      </c>
      <c r="P16" s="62">
        <f t="shared" si="7"/>
        <v>0.6769999999999996</v>
      </c>
      <c r="Q16" s="12">
        <f t="shared" si="8"/>
        <v>0.75</v>
      </c>
      <c r="R16" s="62">
        <f t="shared" si="9"/>
        <v>1</v>
      </c>
      <c r="S16" s="62">
        <f t="shared" si="10"/>
        <v>3</v>
      </c>
      <c r="T16" s="62">
        <f t="shared" si="11"/>
        <v>0.25</v>
      </c>
      <c r="U16" s="62" t="str">
        <f t="shared" si="12"/>
        <v/>
      </c>
      <c r="V16" s="12">
        <f t="shared" si="13"/>
        <v>6.4</v>
      </c>
      <c r="W16" s="62">
        <f t="shared" si="14"/>
        <v>5</v>
      </c>
      <c r="X16" s="62">
        <f t="shared" si="15"/>
        <v>7</v>
      </c>
      <c r="Y16" s="62" t="str">
        <f t="shared" si="16"/>
        <v/>
      </c>
      <c r="Z16" s="62" t="str">
        <f t="shared" si="17"/>
        <v/>
      </c>
      <c r="AA16" s="62">
        <f t="shared" si="18"/>
        <v>5.8</v>
      </c>
      <c r="AB16" s="62">
        <f t="shared" si="19"/>
        <v>6.8</v>
      </c>
      <c r="AC16" s="62" t="str">
        <f t="shared" si="20"/>
        <v/>
      </c>
      <c r="AD16" s="62" t="str">
        <f t="shared" si="21"/>
        <v/>
      </c>
      <c r="AE16" s="66">
        <f>SUMIF('Teaching Allocations'!$B$2:$B$200,$A16,'Teaching Allocations'!$AI$2:$AI$200)</f>
        <v>188</v>
      </c>
      <c r="AF16" s="62" t="str">
        <f t="shared" si="22"/>
        <v/>
      </c>
      <c r="AH16" s="62">
        <f>SUMIF('Teaching Allocations'!$B$2:$B$200,$A16,'Teaching Allocations'!$AA$2:$AA$200)</f>
        <v>865.63499999999999</v>
      </c>
      <c r="AI16" s="62">
        <f>SUMIF(Supervision!$I$2:$I$153,A16,Supervision!$L$2:$L$153)</f>
        <v>92</v>
      </c>
      <c r="AJ16" s="62">
        <f>SUMIF('Thesis Marking'!$A$2:$A$110,$A16,'Thesis Marking'!$C$2:$C$110)</f>
        <v>21.333333333333332</v>
      </c>
      <c r="AK16" s="62">
        <f>SUMIF('Service Allocations'!$C$2:$C$181,$A16,'Service Allocations'!$F$2:$F$181) + wGC*172.5*H16/46</f>
        <v>129.375</v>
      </c>
      <c r="AL16" s="62">
        <f t="shared" si="23"/>
        <v>1108.3433333333332</v>
      </c>
    </row>
    <row r="17" spans="1:38">
      <c r="A17" s="40" t="s">
        <v>121</v>
      </c>
      <c r="B17" s="120" t="s">
        <v>4</v>
      </c>
      <c r="C17" s="120"/>
      <c r="D17" s="120"/>
      <c r="E17" s="120"/>
      <c r="F17" s="120"/>
      <c r="G17" s="120"/>
      <c r="H17" s="42">
        <v>46</v>
      </c>
      <c r="I17" s="43">
        <f t="shared" si="0"/>
        <v>5.32</v>
      </c>
      <c r="J17" s="12">
        <f t="shared" si="1"/>
        <v>0.247</v>
      </c>
      <c r="K17" s="12">
        <f t="shared" si="2"/>
        <v>6.2E-2</v>
      </c>
      <c r="L17" s="12">
        <f t="shared" si="3"/>
        <v>5.6290000000000004</v>
      </c>
      <c r="M17" s="62">
        <f t="shared" si="4"/>
        <v>4</v>
      </c>
      <c r="N17" s="62">
        <f t="shared" si="5"/>
        <v>7</v>
      </c>
      <c r="O17" s="62" t="str">
        <f t="shared" si="6"/>
        <v/>
      </c>
      <c r="P17" s="62" t="str">
        <f t="shared" si="7"/>
        <v/>
      </c>
      <c r="Q17" s="12">
        <f t="shared" si="8"/>
        <v>1.5</v>
      </c>
      <c r="R17" s="62">
        <f t="shared" si="9"/>
        <v>1</v>
      </c>
      <c r="S17" s="62">
        <f t="shared" si="10"/>
        <v>3</v>
      </c>
      <c r="T17" s="62" t="str">
        <f t="shared" si="11"/>
        <v/>
      </c>
      <c r="U17" s="62" t="str">
        <f t="shared" si="12"/>
        <v/>
      </c>
      <c r="V17" s="12">
        <f t="shared" si="13"/>
        <v>7.1</v>
      </c>
      <c r="W17" s="62">
        <f t="shared" si="14"/>
        <v>5</v>
      </c>
      <c r="X17" s="62">
        <f t="shared" si="15"/>
        <v>8</v>
      </c>
      <c r="Y17" s="62" t="str">
        <f t="shared" si="16"/>
        <v/>
      </c>
      <c r="Z17" s="62" t="str">
        <f t="shared" si="17"/>
        <v/>
      </c>
      <c r="AA17" s="62">
        <f t="shared" si="18"/>
        <v>6.8</v>
      </c>
      <c r="AB17" s="62">
        <f t="shared" si="19"/>
        <v>7.8</v>
      </c>
      <c r="AC17" s="62" t="str">
        <f t="shared" si="20"/>
        <v/>
      </c>
      <c r="AD17" s="62" t="str">
        <f t="shared" si="21"/>
        <v/>
      </c>
      <c r="AE17" s="66">
        <f>SUMIF('Teaching Allocations'!$B$2:$B$200,$A17,'Teaching Allocations'!$AI$2:$AI$200)</f>
        <v>1283</v>
      </c>
      <c r="AF17" s="62" t="str">
        <f t="shared" si="22"/>
        <v/>
      </c>
      <c r="AH17" s="62">
        <f>SUMIF('Teaching Allocations'!$B$2:$B$200,$A17,'Teaching Allocations'!$AA$2:$AA$200)</f>
        <v>918.15639999999996</v>
      </c>
      <c r="AI17" s="62">
        <f>SUMIF(Supervision!$I$2:$I$153,A17,Supervision!$L$2:$L$153)</f>
        <v>42.550000000000004</v>
      </c>
      <c r="AJ17" s="62">
        <f>SUMIF('Thesis Marking'!$A$2:$A$110,$A17,'Thesis Marking'!$C$2:$C$110)</f>
        <v>10.666666666666666</v>
      </c>
      <c r="AK17" s="62">
        <f>SUMIF('Service Allocations'!$C$2:$C$181,$A17,'Service Allocations'!$F$2:$F$181) + wGC*172.5*H17/46</f>
        <v>258.75</v>
      </c>
      <c r="AL17" s="62">
        <f t="shared" si="23"/>
        <v>1230.1230666666665</v>
      </c>
    </row>
    <row r="18" spans="1:38">
      <c r="A18" s="40" t="s">
        <v>295</v>
      </c>
      <c r="B18" s="120" t="s">
        <v>5</v>
      </c>
      <c r="C18" s="120"/>
      <c r="D18" s="120"/>
      <c r="E18" s="120"/>
      <c r="F18" s="120"/>
      <c r="G18" s="120"/>
      <c r="H18" s="42">
        <v>46</v>
      </c>
      <c r="I18" s="43">
        <f t="shared" si="0"/>
        <v>4.4800000000000004</v>
      </c>
      <c r="J18" s="12">
        <f t="shared" si="1"/>
        <v>0.14399999999999999</v>
      </c>
      <c r="K18" s="12">
        <f t="shared" si="2"/>
        <v>0.186</v>
      </c>
      <c r="L18" s="12">
        <f t="shared" si="3"/>
        <v>4.8100000000000005</v>
      </c>
      <c r="M18" s="62">
        <f t="shared" si="4"/>
        <v>3</v>
      </c>
      <c r="N18" s="62">
        <f t="shared" si="5"/>
        <v>5</v>
      </c>
      <c r="O18" s="62" t="str">
        <f t="shared" si="6"/>
        <v/>
      </c>
      <c r="P18" s="62" t="str">
        <f t="shared" si="7"/>
        <v/>
      </c>
      <c r="Q18" s="12">
        <f t="shared" si="8"/>
        <v>1</v>
      </c>
      <c r="R18" s="62">
        <f t="shared" si="9"/>
        <v>1</v>
      </c>
      <c r="S18" s="62">
        <f t="shared" si="10"/>
        <v>3</v>
      </c>
      <c r="T18" s="62" t="str">
        <f t="shared" si="11"/>
        <v/>
      </c>
      <c r="U18" s="62" t="str">
        <f t="shared" si="12"/>
        <v/>
      </c>
      <c r="V18" s="12">
        <f t="shared" si="13"/>
        <v>5.8</v>
      </c>
      <c r="W18" s="62">
        <f t="shared" si="14"/>
        <v>5</v>
      </c>
      <c r="X18" s="62">
        <f t="shared" si="15"/>
        <v>7</v>
      </c>
      <c r="Y18" s="62" t="str">
        <f t="shared" si="16"/>
        <v/>
      </c>
      <c r="Z18" s="62" t="str">
        <f t="shared" si="17"/>
        <v/>
      </c>
      <c r="AA18" s="62">
        <f t="shared" si="18"/>
        <v>5.8</v>
      </c>
      <c r="AB18" s="62">
        <f t="shared" si="19"/>
        <v>6.8</v>
      </c>
      <c r="AC18" s="62" t="str">
        <f t="shared" si="20"/>
        <v/>
      </c>
      <c r="AD18" s="62" t="str">
        <f t="shared" si="21"/>
        <v/>
      </c>
      <c r="AE18" s="66">
        <f>SUMIF('Teaching Allocations'!$B$2:$B$200,$A18,'Teaching Allocations'!$AI$2:$AI$200)</f>
        <v>466</v>
      </c>
      <c r="AF18" s="62" t="str">
        <f t="shared" si="22"/>
        <v/>
      </c>
      <c r="AH18" s="62">
        <f>SUMIF('Teaching Allocations'!$B$2:$B$200,$A18,'Teaching Allocations'!$AA$2:$AA$200)</f>
        <v>772.39499999999998</v>
      </c>
      <c r="AI18" s="62">
        <f>SUMIF(Supervision!$I$2:$I$153,A18,Supervision!$L$2:$L$153)</f>
        <v>24.839999999999996</v>
      </c>
      <c r="AJ18" s="62">
        <f>SUMIF('Thesis Marking'!$A$2:$A$110,$A18,'Thesis Marking'!$C$2:$C$110)</f>
        <v>32</v>
      </c>
      <c r="AK18" s="62">
        <f>SUMIF('Service Allocations'!$C$2:$C$181,$A18,'Service Allocations'!$F$2:$F$181) + wGC*172.5*H18/46</f>
        <v>172.5</v>
      </c>
      <c r="AL18" s="62">
        <f t="shared" si="23"/>
        <v>1001.735</v>
      </c>
    </row>
    <row r="19" spans="1:38">
      <c r="A19" s="40" t="s">
        <v>12</v>
      </c>
      <c r="B19" s="120" t="s">
        <v>5</v>
      </c>
      <c r="C19" s="120"/>
      <c r="D19" s="120"/>
      <c r="E19" s="120"/>
      <c r="F19" s="120"/>
      <c r="G19" s="120"/>
      <c r="H19" s="42">
        <v>46</v>
      </c>
      <c r="I19" s="43">
        <f t="shared" si="0"/>
        <v>5.93</v>
      </c>
      <c r="J19" s="12">
        <f t="shared" si="1"/>
        <v>0.12</v>
      </c>
      <c r="K19" s="12">
        <f t="shared" si="2"/>
        <v>0</v>
      </c>
      <c r="L19" s="12">
        <f t="shared" si="3"/>
        <v>6.05</v>
      </c>
      <c r="M19" s="62">
        <f t="shared" si="4"/>
        <v>3</v>
      </c>
      <c r="N19" s="62">
        <f t="shared" si="5"/>
        <v>5</v>
      </c>
      <c r="O19" s="62" t="str">
        <f t="shared" si="6"/>
        <v/>
      </c>
      <c r="P19" s="62">
        <f t="shared" si="7"/>
        <v>1.0499999999999998</v>
      </c>
      <c r="Q19" s="12">
        <f t="shared" si="8"/>
        <v>1.25</v>
      </c>
      <c r="R19" s="62">
        <f t="shared" si="9"/>
        <v>1</v>
      </c>
      <c r="S19" s="62">
        <f t="shared" si="10"/>
        <v>3</v>
      </c>
      <c r="T19" s="62" t="str">
        <f t="shared" si="11"/>
        <v/>
      </c>
      <c r="U19" s="62" t="str">
        <f t="shared" si="12"/>
        <v/>
      </c>
      <c r="V19" s="12">
        <f t="shared" si="13"/>
        <v>7.3</v>
      </c>
      <c r="W19" s="62">
        <f t="shared" si="14"/>
        <v>5</v>
      </c>
      <c r="X19" s="62">
        <f t="shared" si="15"/>
        <v>7</v>
      </c>
      <c r="Y19" s="62" t="str">
        <f t="shared" si="16"/>
        <v/>
      </c>
      <c r="Z19" s="62">
        <f t="shared" si="17"/>
        <v>0.29999999999999982</v>
      </c>
      <c r="AA19" s="62">
        <f t="shared" si="18"/>
        <v>5.8</v>
      </c>
      <c r="AB19" s="62">
        <f t="shared" si="19"/>
        <v>6.8</v>
      </c>
      <c r="AC19" s="62" t="str">
        <f t="shared" si="20"/>
        <v/>
      </c>
      <c r="AD19" s="62">
        <f t="shared" si="21"/>
        <v>0.5</v>
      </c>
      <c r="AE19" s="66">
        <f>SUMIF('Teaching Allocations'!$B$2:$B$200,$A19,'Teaching Allocations'!$AI$2:$AI$200)</f>
        <v>515</v>
      </c>
      <c r="AF19" s="62" t="str">
        <f t="shared" si="22"/>
        <v/>
      </c>
      <c r="AG19" s="176" t="s">
        <v>808</v>
      </c>
      <c r="AH19" s="62">
        <f>SUMIF('Teaching Allocations'!$B$2:$B$200,$A19,'Teaching Allocations'!$AA$2:$AA$200)</f>
        <v>1023.2180000000001</v>
      </c>
      <c r="AI19" s="62">
        <f>SUMIF(Supervision!$I$2:$I$153,A19,Supervision!$L$2:$L$153)</f>
        <v>20.7</v>
      </c>
      <c r="AJ19" s="62">
        <f>SUMIF('Thesis Marking'!$A$2:$A$110,$A19,'Thesis Marking'!$C$2:$C$110)</f>
        <v>0</v>
      </c>
      <c r="AK19" s="62">
        <f>SUMIF('Service Allocations'!$C$2:$C$181,$A19,'Service Allocations'!$F$2:$F$181) + wGC*172.5*H19/46</f>
        <v>215.625</v>
      </c>
      <c r="AL19" s="62">
        <f t="shared" si="23"/>
        <v>1259.5430000000001</v>
      </c>
    </row>
    <row r="20" spans="1:38">
      <c r="A20" s="40" t="s">
        <v>586</v>
      </c>
      <c r="B20" s="120" t="s">
        <v>5</v>
      </c>
      <c r="C20" s="120" t="s">
        <v>252</v>
      </c>
      <c r="D20" s="120"/>
      <c r="E20" s="120"/>
      <c r="F20" s="120"/>
      <c r="G20" s="120"/>
      <c r="H20" s="42">
        <v>46</v>
      </c>
      <c r="I20" s="43">
        <f t="shared" si="0"/>
        <v>4.08</v>
      </c>
      <c r="J20" s="12">
        <f t="shared" si="1"/>
        <v>0</v>
      </c>
      <c r="K20" s="12">
        <f t="shared" si="2"/>
        <v>0</v>
      </c>
      <c r="L20" s="12">
        <f t="shared" si="3"/>
        <v>4.08</v>
      </c>
      <c r="M20" s="62">
        <f t="shared" si="4"/>
        <v>1.6</v>
      </c>
      <c r="N20" s="62">
        <f t="shared" si="5"/>
        <v>3.6</v>
      </c>
      <c r="O20" s="62" t="str">
        <f t="shared" si="6"/>
        <v/>
      </c>
      <c r="P20" s="62">
        <f t="shared" si="7"/>
        <v>0.48</v>
      </c>
      <c r="Q20" s="12">
        <f t="shared" si="8"/>
        <v>0.75</v>
      </c>
      <c r="R20" s="62">
        <f t="shared" si="9"/>
        <v>0.25</v>
      </c>
      <c r="S20" s="62">
        <f t="shared" si="10"/>
        <v>1.25</v>
      </c>
      <c r="T20" s="62" t="str">
        <f t="shared" si="11"/>
        <v/>
      </c>
      <c r="U20" s="62" t="str">
        <f t="shared" si="12"/>
        <v/>
      </c>
      <c r="V20" s="12">
        <f t="shared" si="13"/>
        <v>4.8</v>
      </c>
      <c r="W20" s="62">
        <f t="shared" si="14"/>
        <v>2.85</v>
      </c>
      <c r="X20" s="62">
        <f t="shared" si="15"/>
        <v>4.8499999999999996</v>
      </c>
      <c r="Y20" s="62" t="str">
        <f t="shared" si="16"/>
        <v/>
      </c>
      <c r="Z20" s="62" t="str">
        <f t="shared" si="17"/>
        <v/>
      </c>
      <c r="AA20" s="62">
        <f t="shared" si="18"/>
        <v>5.8</v>
      </c>
      <c r="AB20" s="62">
        <f t="shared" si="19"/>
        <v>6.8</v>
      </c>
      <c r="AC20" s="62">
        <f t="shared" si="20"/>
        <v>1</v>
      </c>
      <c r="AD20" s="62" t="str">
        <f t="shared" si="21"/>
        <v/>
      </c>
      <c r="AE20" s="66">
        <f>SUMIF('Teaching Allocations'!$B$2:$B$200,$A20,'Teaching Allocations'!$AI$2:$AI$200)</f>
        <v>103</v>
      </c>
      <c r="AF20" s="62" t="str">
        <f t="shared" si="22"/>
        <v/>
      </c>
      <c r="AH20" s="62">
        <f>SUMIF('Teaching Allocations'!$B$2:$B$200,$A20,'Teaching Allocations'!$AA$2:$AA$200)</f>
        <v>704.24750000000006</v>
      </c>
      <c r="AI20" s="62">
        <f>SUMIF(Supervision!$I$2:$I$153,A20,Supervision!$L$2:$L$153)</f>
        <v>0</v>
      </c>
      <c r="AJ20" s="62">
        <f>SUMIF('Thesis Marking'!$A$2:$A$110,$A20,'Thesis Marking'!$C$2:$C$110)</f>
        <v>0</v>
      </c>
      <c r="AK20" s="62">
        <f>SUMIF('Service Allocations'!$C$2:$C$181,$A20,'Service Allocations'!$F$2:$F$181) + wGC*172.5*H20/46</f>
        <v>129.375</v>
      </c>
      <c r="AL20" s="62">
        <f t="shared" si="23"/>
        <v>833.62250000000006</v>
      </c>
    </row>
    <row r="21" spans="1:38">
      <c r="A21" s="40" t="s">
        <v>131</v>
      </c>
      <c r="B21" s="120" t="s">
        <v>5</v>
      </c>
      <c r="C21" s="120"/>
      <c r="D21" s="120"/>
      <c r="E21" s="120"/>
      <c r="F21" s="120"/>
      <c r="G21" s="120"/>
      <c r="H21" s="42">
        <v>46</v>
      </c>
      <c r="I21" s="43">
        <f t="shared" si="0"/>
        <v>3.56</v>
      </c>
      <c r="J21" s="12">
        <f t="shared" si="1"/>
        <v>0.187</v>
      </c>
      <c r="K21" s="12">
        <f t="shared" si="2"/>
        <v>0.108</v>
      </c>
      <c r="L21" s="12">
        <f t="shared" si="3"/>
        <v>3.855</v>
      </c>
      <c r="M21" s="62">
        <f t="shared" si="4"/>
        <v>3</v>
      </c>
      <c r="N21" s="62">
        <f t="shared" si="5"/>
        <v>5</v>
      </c>
      <c r="O21" s="62" t="str">
        <f t="shared" si="6"/>
        <v/>
      </c>
      <c r="P21" s="62" t="str">
        <f t="shared" si="7"/>
        <v/>
      </c>
      <c r="Q21" s="12">
        <f t="shared" si="8"/>
        <v>2.15</v>
      </c>
      <c r="R21" s="62">
        <f t="shared" si="9"/>
        <v>1</v>
      </c>
      <c r="S21" s="62">
        <f t="shared" si="10"/>
        <v>3</v>
      </c>
      <c r="T21" s="62" t="str">
        <f t="shared" si="11"/>
        <v/>
      </c>
      <c r="U21" s="62" t="str">
        <f t="shared" si="12"/>
        <v/>
      </c>
      <c r="V21" s="12">
        <f t="shared" si="13"/>
        <v>6</v>
      </c>
      <c r="W21" s="62">
        <f t="shared" si="14"/>
        <v>5</v>
      </c>
      <c r="X21" s="62">
        <f t="shared" si="15"/>
        <v>7</v>
      </c>
      <c r="Y21" s="62" t="str">
        <f t="shared" si="16"/>
        <v/>
      </c>
      <c r="Z21" s="62" t="str">
        <f t="shared" si="17"/>
        <v/>
      </c>
      <c r="AA21" s="62">
        <f t="shared" si="18"/>
        <v>5.8</v>
      </c>
      <c r="AB21" s="62">
        <f t="shared" si="19"/>
        <v>6.8</v>
      </c>
      <c r="AC21" s="62" t="str">
        <f t="shared" si="20"/>
        <v/>
      </c>
      <c r="AD21" s="62" t="str">
        <f t="shared" si="21"/>
        <v/>
      </c>
      <c r="AE21" s="66">
        <f>SUMIF('Teaching Allocations'!$B$2:$B$200,$A21,'Teaching Allocations'!$AI$2:$AI$200)</f>
        <v>569</v>
      </c>
      <c r="AF21" s="62" t="str">
        <f t="shared" si="22"/>
        <v/>
      </c>
      <c r="AH21" s="62">
        <f>SUMIF('Teaching Allocations'!$B$2:$B$200,$A21,'Teaching Allocations'!$AA$2:$AA$200)</f>
        <v>613.79633076923085</v>
      </c>
      <c r="AI21" s="62">
        <f>SUMIF(Supervision!$I$2:$I$153,A21,Supervision!$L$2:$L$153)</f>
        <v>32.199999999999996</v>
      </c>
      <c r="AJ21" s="62">
        <f>SUMIF('Thesis Marking'!$A$2:$A$110,$A21,'Thesis Marking'!$C$2:$C$110)</f>
        <v>18.666666666666668</v>
      </c>
      <c r="AK21" s="62">
        <f>SUMIF('Service Allocations'!$C$2:$C$181,$A21,'Service Allocations'!$F$2:$F$181) + wGC*172.5*H21/46</f>
        <v>370.875</v>
      </c>
      <c r="AL21" s="62">
        <f t="shared" si="23"/>
        <v>1035.5379974358975</v>
      </c>
    </row>
    <row r="22" spans="1:38" ht="15.75" customHeight="1">
      <c r="A22" s="40" t="s">
        <v>13</v>
      </c>
      <c r="B22" s="120" t="s">
        <v>5</v>
      </c>
      <c r="C22" s="120"/>
      <c r="D22" s="120"/>
      <c r="E22" s="120"/>
      <c r="F22" s="120"/>
      <c r="G22" s="120"/>
      <c r="H22" s="42">
        <v>46</v>
      </c>
      <c r="I22" s="43">
        <f t="shared" si="0"/>
        <v>4.09</v>
      </c>
      <c r="J22" s="12">
        <f t="shared" si="1"/>
        <v>0.14899999999999999</v>
      </c>
      <c r="K22" s="12">
        <f t="shared" si="2"/>
        <v>7.6999999999999999E-2</v>
      </c>
      <c r="L22" s="12">
        <f t="shared" si="3"/>
        <v>4.3159999999999998</v>
      </c>
      <c r="M22" s="62">
        <f t="shared" si="4"/>
        <v>3</v>
      </c>
      <c r="N22" s="62">
        <f t="shared" si="5"/>
        <v>5</v>
      </c>
      <c r="O22" s="62" t="str">
        <f t="shared" si="6"/>
        <v/>
      </c>
      <c r="P22" s="62" t="str">
        <f t="shared" si="7"/>
        <v/>
      </c>
      <c r="Q22" s="12">
        <f t="shared" si="8"/>
        <v>1.75</v>
      </c>
      <c r="R22" s="62">
        <f t="shared" si="9"/>
        <v>1</v>
      </c>
      <c r="S22" s="62">
        <f t="shared" si="10"/>
        <v>3</v>
      </c>
      <c r="T22" s="62" t="str">
        <f t="shared" si="11"/>
        <v/>
      </c>
      <c r="U22" s="62" t="str">
        <f t="shared" si="12"/>
        <v/>
      </c>
      <c r="V22" s="12">
        <f t="shared" si="13"/>
        <v>6.1</v>
      </c>
      <c r="W22" s="62">
        <f t="shared" si="14"/>
        <v>5</v>
      </c>
      <c r="X22" s="62">
        <f t="shared" si="15"/>
        <v>7</v>
      </c>
      <c r="Y22" s="62" t="str">
        <f t="shared" si="16"/>
        <v/>
      </c>
      <c r="Z22" s="62" t="str">
        <f t="shared" si="17"/>
        <v/>
      </c>
      <c r="AA22" s="62">
        <f t="shared" si="18"/>
        <v>5.8</v>
      </c>
      <c r="AB22" s="62">
        <f t="shared" si="19"/>
        <v>6.8</v>
      </c>
      <c r="AC22" s="62" t="str">
        <f t="shared" si="20"/>
        <v/>
      </c>
      <c r="AD22" s="62" t="str">
        <f t="shared" si="21"/>
        <v/>
      </c>
      <c r="AE22" s="66">
        <f>SUMIF('Teaching Allocations'!$B$2:$B$200,$A22,'Teaching Allocations'!$AI$2:$AI$200)</f>
        <v>312</v>
      </c>
      <c r="AF22" s="62" t="str">
        <f t="shared" si="22"/>
        <v/>
      </c>
      <c r="AH22" s="62">
        <f>SUMIF('Teaching Allocations'!$B$2:$B$200,$A22,'Teaching Allocations'!$AA$2:$AA$200)</f>
        <v>705.4899999999999</v>
      </c>
      <c r="AI22" s="62">
        <f>SUMIF(Supervision!$I$2:$I$153,A22,Supervision!$L$2:$L$153)</f>
        <v>25.759999999999998</v>
      </c>
      <c r="AJ22" s="62">
        <f>SUMIF('Thesis Marking'!$A$2:$A$110,$A22,'Thesis Marking'!$C$2:$C$110)</f>
        <v>13.333333333333334</v>
      </c>
      <c r="AK22" s="62">
        <f>SUMIF('Service Allocations'!$C$2:$C$181,$A22,'Service Allocations'!$F$2:$F$181) + wGC*172.5*H22/46</f>
        <v>301.875</v>
      </c>
      <c r="AL22" s="62">
        <f t="shared" si="23"/>
        <v>1046.4583333333333</v>
      </c>
    </row>
    <row r="23" spans="1:38">
      <c r="A23" s="126" t="s">
        <v>14</v>
      </c>
      <c r="B23" s="120" t="s">
        <v>292</v>
      </c>
      <c r="C23" s="120"/>
      <c r="D23" s="120"/>
      <c r="E23" s="120"/>
      <c r="F23" s="120"/>
      <c r="G23" s="120"/>
      <c r="H23" s="42">
        <f>ROUND(46*2/12,0)</f>
        <v>8</v>
      </c>
      <c r="I23" s="43">
        <f t="shared" si="0"/>
        <v>2.2799999999999998</v>
      </c>
      <c r="J23" s="12">
        <f t="shared" si="1"/>
        <v>0.251</v>
      </c>
      <c r="K23" s="12">
        <f t="shared" si="2"/>
        <v>6.2E-2</v>
      </c>
      <c r="L23" s="12">
        <f t="shared" si="3"/>
        <v>2.5929999999999995</v>
      </c>
      <c r="M23" s="62" t="str">
        <f t="shared" si="4"/>
        <v xml:space="preserve"> </v>
      </c>
      <c r="N23" s="62" t="str">
        <f t="shared" si="5"/>
        <v xml:space="preserve"> </v>
      </c>
      <c r="O23" s="62" t="str">
        <f t="shared" si="6"/>
        <v/>
      </c>
      <c r="P23" s="62" t="str">
        <f t="shared" si="7"/>
        <v/>
      </c>
      <c r="Q23" s="12">
        <f t="shared" si="8"/>
        <v>1.63</v>
      </c>
      <c r="R23" s="62" t="str">
        <f t="shared" si="9"/>
        <v xml:space="preserve"> </v>
      </c>
      <c r="S23" s="62" t="str">
        <f t="shared" si="10"/>
        <v xml:space="preserve"> </v>
      </c>
      <c r="T23" s="62" t="str">
        <f t="shared" si="11"/>
        <v/>
      </c>
      <c r="U23" s="62" t="str">
        <f t="shared" si="12"/>
        <v/>
      </c>
      <c r="V23" s="12">
        <f t="shared" si="13"/>
        <v>4.2</v>
      </c>
      <c r="W23" s="62" t="str">
        <f t="shared" si="14"/>
        <v xml:space="preserve"> </v>
      </c>
      <c r="X23" s="62" t="str">
        <f t="shared" si="15"/>
        <v xml:space="preserve"> </v>
      </c>
      <c r="Y23" s="62" t="str">
        <f t="shared" si="16"/>
        <v/>
      </c>
      <c r="Z23" s="62" t="str">
        <f t="shared" si="17"/>
        <v/>
      </c>
      <c r="AA23" s="62" t="str">
        <f t="shared" si="18"/>
        <v xml:space="preserve"> </v>
      </c>
      <c r="AB23" s="62" t="str">
        <f t="shared" si="19"/>
        <v xml:space="preserve"> </v>
      </c>
      <c r="AC23" s="62" t="str">
        <f t="shared" si="20"/>
        <v/>
      </c>
      <c r="AD23" s="62" t="str">
        <f t="shared" si="21"/>
        <v/>
      </c>
      <c r="AE23" s="66">
        <f>SUMIF('Teaching Allocations'!$B$2:$B$200,$A23,'Teaching Allocations'!$AI$2:$AI$200)</f>
        <v>63</v>
      </c>
      <c r="AF23" s="62" t="str">
        <f t="shared" si="22"/>
        <v/>
      </c>
      <c r="AG23" s="176" t="s">
        <v>818</v>
      </c>
      <c r="AH23" s="62">
        <f>SUMIF('Teaching Allocations'!$B$2:$B$200,$A23,'Teaching Allocations'!$AA$2:$AA$200)</f>
        <v>393.94749999999999</v>
      </c>
      <c r="AI23" s="62">
        <f>SUMIF(Supervision!$I$2:$I$153,A23,Supervision!$L$2:$L$153)</f>
        <v>43.239999999999995</v>
      </c>
      <c r="AJ23" s="62">
        <f>SUMIF('Thesis Marking'!$A$2:$A$110,$A23,'Thesis Marking'!$C$2:$C$110)</f>
        <v>10.666666666666666</v>
      </c>
      <c r="AK23" s="62">
        <f>SUMIF('Service Allocations'!$C$2:$C$181,$A23,'Service Allocations'!$F$2:$F$181) + wGC*172.5*H23/46</f>
        <v>281.25</v>
      </c>
      <c r="AL23" s="62">
        <f t="shared" si="23"/>
        <v>729.10416666666674</v>
      </c>
    </row>
    <row r="24" spans="1:38">
      <c r="A24" s="40" t="s">
        <v>132</v>
      </c>
      <c r="B24" s="120" t="s">
        <v>5</v>
      </c>
      <c r="C24" s="120"/>
      <c r="D24" s="120"/>
      <c r="E24" s="120"/>
      <c r="F24" s="120"/>
      <c r="G24" s="120"/>
      <c r="H24" s="42">
        <v>25</v>
      </c>
      <c r="I24" s="43">
        <f t="shared" ref="I24:I48" si="24">ROUND($AH24/172.5,2)</f>
        <v>1.56</v>
      </c>
      <c r="J24" s="12">
        <f t="shared" ref="J24:J48" si="25">ROUND($AI24/172.5,3)</f>
        <v>0.80800000000000005</v>
      </c>
      <c r="K24" s="12">
        <f t="shared" ref="K24:K48" si="26">ROUND($AJ24/172.5,3)</f>
        <v>7.6999999999999999E-2</v>
      </c>
      <c r="L24" s="12">
        <f t="shared" ref="L24:L48" si="27">I24+J24+K24</f>
        <v>2.4450000000000003</v>
      </c>
      <c r="M24" s="62">
        <f t="shared" ref="M24:M48" si="28">IF($B24="TR",IF($C24="Y",EBTR1_lb*$H24/46,IF($D24="Y",EBTRP_lb*$H24/46,IF($G24="Y",ECDTRP_lb*$H24/46,ETR_lb*$H24/46))),IF($B24="TF",IF($E24="Y",EBTF1_lb*$H24/46,IF($F24="Y",EBTFP_lb,ETF_lb))*$H24/46," "))</f>
        <v>1.6304347826086956</v>
      </c>
      <c r="N24" s="62">
        <f t="shared" ref="N24:N48" si="29">IF($B24="TR",IF($C24="Y",EBTR1_ub*$H24/46,IF($D24="Y",EBTRP_ub*$H24/46,IF($G24="Y",ECDTRP_ub*$H24/46,ETR_ub*$H24/46))),IF($B24="TF",IF($E24="Y",EBTF1_ub*$H24/46,IF($F24="Y",EBTFP_ub,ETF_ub))*$H24/46," "))</f>
        <v>2.7173913043478262</v>
      </c>
      <c r="O24" s="62" t="str">
        <f t="shared" ref="O24:O48" si="30">IF(OR($B24="TR",$B24="TF"),IF(L24&lt;M24,M24-L24,""),"")</f>
        <v/>
      </c>
      <c r="P24" s="62" t="str">
        <f t="shared" ref="P24:P48" si="31">IF(OR($B24="TR",$B24="TF"),IF(L24&gt;N24,L24-N24,""),"")</f>
        <v/>
      </c>
      <c r="Q24" s="12">
        <f t="shared" ref="Q24:Q48" si="32">ROUND($AK24/172.5,3)</f>
        <v>0.70799999999999996</v>
      </c>
      <c r="R24" s="62">
        <f t="shared" ref="R24:R48" si="33">IF($B24="TR",IF($C24="Y",SBTR1_lb*$H24/46,IF($D24="Y",SBTRP_lb*$H24/46,IF($G24="Y",SCDTRP_lb*$H24/46,STR_lb*$H24/46))),IF($B24="TF",IF($E24="Y",SBTF1_lb*$H24/46,IF($F24="Y",SBTFP_lb,STF_lb))*$H24/46," "))</f>
        <v>0.54347826086956519</v>
      </c>
      <c r="S24" s="62">
        <f t="shared" ref="S24:S48" si="34">IF($B24="TR",IF($C24="Y",SBTR1_ub*$H24/46,IF($D24="Y",SBTRP_ub*$H24/46,IF($G24="Y",SCDTRP_ub*$H24/46,STR_ub*$H24/46))),IF($B24="TF",IF($E24="Y",SBTF1_ub*$H24/46,IF($F24="Y",SBTFP_ub,STF_ub))*$H24/46," "))</f>
        <v>1.6304347826086956</v>
      </c>
      <c r="T24" s="62" t="str">
        <f t="shared" ref="T24:T48" si="35">IF(OR($B24="TR",$B24="TF"),IF(Q24&lt;R24,R24-Q24,""),"")</f>
        <v/>
      </c>
      <c r="U24" s="62" t="str">
        <f t="shared" ref="U24:U48" si="36">IF(OR($B24="TR",$B24="TF"),IF(Q24&gt;S24,Q24-S24,""),"")</f>
        <v/>
      </c>
      <c r="V24" s="12">
        <f t="shared" ref="V24:V48" si="37">ROUND($AL24/172.5,1)</f>
        <v>3.2</v>
      </c>
      <c r="W24" s="62">
        <f t="shared" ref="W24:W48" si="38">IF($B24="TR",IF($C24="Y",(10-RBTR1_ub)*$H24/46,IF($D24="Y",(10-RBTRP_ub)*$H24/46,IF($G24="Y",(10-RCDTRP_ub)*$H24/46,(10-RTR_ub)*$H24/46))),IF($B24="TF",IF($E24="Y",(10-STLBTF1_ub)*$H24/46,IF($F24="Y",(10-STLBTFP_ub)*$H24/46,(10-STLTF_ub)*$H24/46))," "))</f>
        <v>2.7173913043478262</v>
      </c>
      <c r="X24" s="62">
        <f t="shared" ref="X24:X48" si="39">IF($B24="TR",IF($C24="Y",(10-RBTR1_lb)*$H24/46,IF($D24="Y",(10-RBTRP_lb)*$H24/46,IF($G24="Y",(10-RCDTRP_lb)*$H24/46,(10-RTR_lb)*$H24/46))),IF($B24="TF",IF($E24="Y",(10-STLBTF1_lb)*$H24/46,IF($F24="Y",(10-STLBTFP_lb)*$H24/46,(10-STLTF_lb)*$H24/46))," "))</f>
        <v>3.8043478260869565</v>
      </c>
      <c r="Y24" s="62" t="str">
        <f t="shared" ref="Y24:Y48" si="40">IF(OR($B24="TR",$B24="TF"),IF(V24&lt;W24,W24-V24,""),"")</f>
        <v/>
      </c>
      <c r="Z24" s="62" t="str">
        <f t="shared" ref="Z24:Z48" si="41">IF(OR($B24="TR",$B24="TF"),IF(V24&gt;X24,V24-X24,""),"")</f>
        <v/>
      </c>
      <c r="AA24" s="62">
        <f t="shared" si="18"/>
        <v>3.152173913043478</v>
      </c>
      <c r="AB24" s="62">
        <f t="shared" si="19"/>
        <v>3.6956521739130435</v>
      </c>
      <c r="AC24" s="62" t="str">
        <f t="shared" ref="AC24:AC48" si="42">IF(OR($B24="TR",$B24="TF"),IF(V24&lt;AA24,AA24-V24,""),"")</f>
        <v/>
      </c>
      <c r="AD24" s="62" t="str">
        <f t="shared" ref="AD24:AD48" si="43">IF(OR($B24="TR",$B24="TF"),IF(V24&gt;AB24,V24-AB24,""),"")</f>
        <v/>
      </c>
      <c r="AE24" s="66">
        <f>SUMIF('Teaching Allocations'!$B$2:$B$200,$A24,'Teaching Allocations'!$AI$2:$AI$200)</f>
        <v>73</v>
      </c>
      <c r="AF24" s="62" t="str">
        <f t="shared" ref="AF24:AF48" si="44">IF(OR($B24="TR",$B24="TF"),IF(AE24&lt;75,"Y",""),"")</f>
        <v>Y</v>
      </c>
      <c r="AG24" s="176" t="s">
        <v>814</v>
      </c>
      <c r="AH24" s="62">
        <f>SUMIF('Teaching Allocations'!$B$2:$B$200,$A24,'Teaching Allocations'!$AA$2:$AA$200)</f>
        <v>269.27250000000004</v>
      </c>
      <c r="AI24" s="62">
        <f>SUMIF(Supervision!$I$2:$I$153,A24,Supervision!$L$2:$L$153)</f>
        <v>139.38</v>
      </c>
      <c r="AJ24" s="62">
        <f>SUMIF('Thesis Marking'!$A$2:$A$110,$A24,'Thesis Marking'!$C$2:$C$110)</f>
        <v>13.333333333333334</v>
      </c>
      <c r="AK24" s="62">
        <f>SUMIF('Service Allocations'!$C$2:$C$181,$A24,'Service Allocations'!$F$2:$F$181) + wGC*172.5*H24/46</f>
        <v>122.0625</v>
      </c>
      <c r="AL24" s="62">
        <f t="shared" ref="AL24:AL48" si="45">SUM(AH24:AK24)</f>
        <v>544.0483333333334</v>
      </c>
    </row>
    <row r="25" spans="1:38">
      <c r="A25" s="40" t="s">
        <v>15</v>
      </c>
      <c r="B25" s="120" t="s">
        <v>5</v>
      </c>
      <c r="C25" s="120"/>
      <c r="D25" s="120"/>
      <c r="E25" s="120"/>
      <c r="F25" s="120"/>
      <c r="G25" s="120"/>
      <c r="H25" s="42">
        <v>42</v>
      </c>
      <c r="I25" s="43">
        <f t="shared" si="24"/>
        <v>1.89</v>
      </c>
      <c r="J25" s="12">
        <f t="shared" si="25"/>
        <v>0.46700000000000003</v>
      </c>
      <c r="K25" s="12">
        <f t="shared" si="26"/>
        <v>6.2E-2</v>
      </c>
      <c r="L25" s="12">
        <f t="shared" si="27"/>
        <v>2.4189999999999996</v>
      </c>
      <c r="M25" s="62">
        <f t="shared" si="28"/>
        <v>2.7391304347826089</v>
      </c>
      <c r="N25" s="62">
        <f t="shared" si="29"/>
        <v>4.5652173913043477</v>
      </c>
      <c r="O25" s="62">
        <f t="shared" si="30"/>
        <v>0.32013043478260927</v>
      </c>
      <c r="P25" s="62" t="str">
        <f t="shared" si="31"/>
        <v/>
      </c>
      <c r="Q25" s="12">
        <f t="shared" si="32"/>
        <v>4.109</v>
      </c>
      <c r="R25" s="62">
        <f t="shared" si="33"/>
        <v>0.91304347826086951</v>
      </c>
      <c r="S25" s="62">
        <f t="shared" si="34"/>
        <v>2.7391304347826089</v>
      </c>
      <c r="T25" s="62" t="str">
        <f t="shared" si="35"/>
        <v/>
      </c>
      <c r="U25" s="62">
        <f t="shared" si="36"/>
        <v>1.3698695652173911</v>
      </c>
      <c r="V25" s="12">
        <f t="shared" si="37"/>
        <v>6.5</v>
      </c>
      <c r="W25" s="62">
        <f t="shared" si="38"/>
        <v>4.5652173913043477</v>
      </c>
      <c r="X25" s="62">
        <f t="shared" si="39"/>
        <v>6.3913043478260869</v>
      </c>
      <c r="Y25" s="62" t="str">
        <f t="shared" si="40"/>
        <v/>
      </c>
      <c r="Z25" s="62">
        <f t="shared" si="41"/>
        <v>0.10869565217391308</v>
      </c>
      <c r="AA25" s="62">
        <f t="shared" si="18"/>
        <v>5.2956521739130435</v>
      </c>
      <c r="AB25" s="62">
        <f t="shared" si="19"/>
        <v>6.2086956521739127</v>
      </c>
      <c r="AC25" s="62" t="str">
        <f t="shared" si="42"/>
        <v/>
      </c>
      <c r="AD25" s="62">
        <f t="shared" si="43"/>
        <v>0.29130434782608727</v>
      </c>
      <c r="AE25" s="66">
        <f>SUMIF('Teaching Allocations'!$B$2:$B$200,$A25,'Teaching Allocations'!$AI$2:$AI$200)</f>
        <v>26</v>
      </c>
      <c r="AF25" s="62" t="str">
        <f t="shared" si="44"/>
        <v>Y</v>
      </c>
      <c r="AG25" s="176" t="s">
        <v>815</v>
      </c>
      <c r="AH25" s="62">
        <f>SUMIF('Teaching Allocations'!$B$2:$B$200,$A25,'Teaching Allocations'!$AA$2:$AA$200)</f>
        <v>325.64499999999998</v>
      </c>
      <c r="AI25" s="62">
        <f>SUMIF(Supervision!$I$2:$I$153,A25,Supervision!$L$2:$L$153)</f>
        <v>80.5</v>
      </c>
      <c r="AJ25" s="62">
        <f>SUMIF('Thesis Marking'!$A$2:$A$110,$A25,'Thesis Marking'!$C$2:$C$110)</f>
        <v>10.666666666666666</v>
      </c>
      <c r="AK25" s="62">
        <f>SUMIF('Service Allocations'!$C$2:$C$181,$A25,'Service Allocations'!$F$2:$F$181) + wGC*172.5*H25/46</f>
        <v>708.75</v>
      </c>
      <c r="AL25" s="62">
        <f t="shared" si="45"/>
        <v>1125.5616666666667</v>
      </c>
    </row>
    <row r="26" spans="1:38">
      <c r="A26" s="40" t="s">
        <v>171</v>
      </c>
      <c r="B26" s="120" t="s">
        <v>5</v>
      </c>
      <c r="C26" s="120"/>
      <c r="D26" s="120"/>
      <c r="E26" s="120"/>
      <c r="F26" s="120"/>
      <c r="G26" s="120"/>
      <c r="H26" s="42">
        <f xml:space="preserve"> ROUND(46 - 46/6,0)</f>
        <v>38</v>
      </c>
      <c r="I26" s="43">
        <f t="shared" si="24"/>
        <v>3.87</v>
      </c>
      <c r="J26" s="12">
        <f t="shared" si="25"/>
        <v>0.08</v>
      </c>
      <c r="K26" s="12">
        <f t="shared" si="26"/>
        <v>3.1E-2</v>
      </c>
      <c r="L26" s="12">
        <f t="shared" si="27"/>
        <v>3.9810000000000003</v>
      </c>
      <c r="M26" s="62">
        <f t="shared" si="28"/>
        <v>2.4782608695652173</v>
      </c>
      <c r="N26" s="62">
        <f t="shared" si="29"/>
        <v>4.1304347826086953</v>
      </c>
      <c r="O26" s="62" t="str">
        <f t="shared" si="30"/>
        <v/>
      </c>
      <c r="P26" s="62" t="str">
        <f t="shared" si="31"/>
        <v/>
      </c>
      <c r="Q26" s="12">
        <f t="shared" si="32"/>
        <v>1.72</v>
      </c>
      <c r="R26" s="62">
        <f t="shared" si="33"/>
        <v>0.82608695652173914</v>
      </c>
      <c r="S26" s="62">
        <f t="shared" si="34"/>
        <v>2.4782608695652173</v>
      </c>
      <c r="T26" s="62" t="str">
        <f t="shared" si="35"/>
        <v/>
      </c>
      <c r="U26" s="62" t="str">
        <f t="shared" si="36"/>
        <v/>
      </c>
      <c r="V26" s="12">
        <f t="shared" si="37"/>
        <v>5.7</v>
      </c>
      <c r="W26" s="62">
        <f t="shared" si="38"/>
        <v>4.1304347826086953</v>
      </c>
      <c r="X26" s="62">
        <f t="shared" si="39"/>
        <v>5.7826086956521738</v>
      </c>
      <c r="Y26" s="62" t="str">
        <f t="shared" si="40"/>
        <v/>
      </c>
      <c r="Z26" s="62" t="str">
        <f t="shared" si="41"/>
        <v/>
      </c>
      <c r="AA26" s="62">
        <f t="shared" si="18"/>
        <v>4.7913043478260873</v>
      </c>
      <c r="AB26" s="62">
        <f t="shared" si="19"/>
        <v>5.6173913043478256</v>
      </c>
      <c r="AC26" s="62" t="str">
        <f t="shared" si="42"/>
        <v/>
      </c>
      <c r="AD26" s="62">
        <f t="shared" si="43"/>
        <v>8.2608695652174546E-2</v>
      </c>
      <c r="AE26" s="66">
        <f>SUMIF('Teaching Allocations'!$B$2:$B$200,$A26,'Teaching Allocations'!$AI$2:$AI$200)</f>
        <v>356</v>
      </c>
      <c r="AF26" s="62" t="str">
        <f t="shared" si="44"/>
        <v/>
      </c>
      <c r="AG26" s="176" t="s">
        <v>813</v>
      </c>
      <c r="AH26" s="62">
        <f>SUMIF('Teaching Allocations'!$B$2:$B$200,$A26,'Teaching Allocations'!$AA$2:$AA$200)</f>
        <v>668.37</v>
      </c>
      <c r="AI26" s="62">
        <f>SUMIF(Supervision!$I$2:$I$153,A26,Supervision!$L$2:$L$153)</f>
        <v>13.799999999999999</v>
      </c>
      <c r="AJ26" s="62">
        <f>SUMIF('Thesis Marking'!$A$2:$A$110,$A26,'Thesis Marking'!$C$2:$C$110)</f>
        <v>5.333333333333333</v>
      </c>
      <c r="AK26" s="62">
        <f>SUMIF('Service Allocations'!$C$2:$C$181,$A26,'Service Allocations'!$F$2:$F$181) + wGC*172.5*H26/46</f>
        <v>296.625</v>
      </c>
      <c r="AL26" s="62">
        <f t="shared" si="45"/>
        <v>984.12833333333333</v>
      </c>
    </row>
    <row r="27" spans="1:38">
      <c r="A27" s="40" t="s">
        <v>135</v>
      </c>
      <c r="B27" s="120" t="s">
        <v>5</v>
      </c>
      <c r="C27" s="120"/>
      <c r="D27" s="120"/>
      <c r="E27" s="120"/>
      <c r="F27" s="120"/>
      <c r="G27" s="120"/>
      <c r="H27" s="42">
        <v>39</v>
      </c>
      <c r="I27" s="43">
        <f t="shared" si="24"/>
        <v>3.22</v>
      </c>
      <c r="J27" s="12">
        <f t="shared" si="25"/>
        <v>0.78100000000000003</v>
      </c>
      <c r="K27" s="12">
        <f t="shared" si="26"/>
        <v>3.1E-2</v>
      </c>
      <c r="L27" s="12">
        <f t="shared" si="27"/>
        <v>4.032</v>
      </c>
      <c r="M27" s="62">
        <f t="shared" si="28"/>
        <v>2.5434782608695654</v>
      </c>
      <c r="N27" s="62">
        <f t="shared" si="29"/>
        <v>4.2391304347826084</v>
      </c>
      <c r="O27" s="62" t="str">
        <f t="shared" si="30"/>
        <v/>
      </c>
      <c r="P27" s="62" t="str">
        <f t="shared" si="31"/>
        <v/>
      </c>
      <c r="Q27" s="12">
        <f t="shared" si="32"/>
        <v>1.3859999999999999</v>
      </c>
      <c r="R27" s="62">
        <f t="shared" si="33"/>
        <v>0.84782608695652173</v>
      </c>
      <c r="S27" s="62">
        <f t="shared" si="34"/>
        <v>2.5434782608695654</v>
      </c>
      <c r="T27" s="62" t="str">
        <f t="shared" si="35"/>
        <v/>
      </c>
      <c r="U27" s="62" t="str">
        <f t="shared" si="36"/>
        <v/>
      </c>
      <c r="V27" s="12">
        <f t="shared" si="37"/>
        <v>5.4</v>
      </c>
      <c r="W27" s="62">
        <f t="shared" si="38"/>
        <v>4.2391304347826084</v>
      </c>
      <c r="X27" s="62">
        <f t="shared" si="39"/>
        <v>5.9347826086956523</v>
      </c>
      <c r="Y27" s="62" t="str">
        <f t="shared" si="40"/>
        <v/>
      </c>
      <c r="Z27" s="62" t="str">
        <f t="shared" si="41"/>
        <v/>
      </c>
      <c r="AA27" s="62">
        <f t="shared" si="18"/>
        <v>4.9173913043478255</v>
      </c>
      <c r="AB27" s="62">
        <f t="shared" si="19"/>
        <v>5.7652173913043478</v>
      </c>
      <c r="AC27" s="62" t="str">
        <f t="shared" si="42"/>
        <v/>
      </c>
      <c r="AD27" s="62" t="str">
        <f t="shared" si="43"/>
        <v/>
      </c>
      <c r="AE27" s="66">
        <f>SUMIF('Teaching Allocations'!$B$2:$B$200,$A27,'Teaching Allocations'!$AI$2:$AI$200)</f>
        <v>101</v>
      </c>
      <c r="AF27" s="62" t="str">
        <f t="shared" si="44"/>
        <v/>
      </c>
      <c r="AG27" s="176" t="s">
        <v>819</v>
      </c>
      <c r="AH27" s="62">
        <f>SUMIF('Teaching Allocations'!$B$2:$B$200,$A27,'Teaching Allocations'!$AA$2:$AA$200)</f>
        <v>556.20749999999998</v>
      </c>
      <c r="AI27" s="62">
        <f>SUMIF(Supervision!$I$2:$I$153,A27,Supervision!$L$2:$L$153)</f>
        <v>134.78</v>
      </c>
      <c r="AJ27" s="62">
        <f>SUMIF('Thesis Marking'!$A$2:$A$110,$A27,'Thesis Marking'!$C$2:$C$110)</f>
        <v>5.333333333333333</v>
      </c>
      <c r="AK27" s="62">
        <f>SUMIF('Service Allocations'!$C$2:$C$181,$A27,'Service Allocations'!$F$2:$F$181) + wGC*172.5*H27/46</f>
        <v>239.0625</v>
      </c>
      <c r="AL27" s="62">
        <f t="shared" si="45"/>
        <v>935.38333333333333</v>
      </c>
    </row>
    <row r="28" spans="1:38">
      <c r="A28" s="126" t="s">
        <v>16</v>
      </c>
      <c r="B28" s="120" t="s">
        <v>5</v>
      </c>
      <c r="C28" s="120"/>
      <c r="D28" s="120"/>
      <c r="E28" s="120"/>
      <c r="F28" s="120"/>
      <c r="G28" s="120"/>
      <c r="H28" s="42">
        <v>44</v>
      </c>
      <c r="I28" s="43">
        <f t="shared" si="24"/>
        <v>6.16</v>
      </c>
      <c r="J28" s="12">
        <f t="shared" si="25"/>
        <v>0.59199999999999997</v>
      </c>
      <c r="K28" s="12">
        <f t="shared" si="26"/>
        <v>3.1E-2</v>
      </c>
      <c r="L28" s="12">
        <f t="shared" si="27"/>
        <v>6.7829999999999995</v>
      </c>
      <c r="M28" s="62">
        <f t="shared" si="28"/>
        <v>2.8695652173913042</v>
      </c>
      <c r="N28" s="62">
        <f t="shared" si="29"/>
        <v>4.7826086956521738</v>
      </c>
      <c r="O28" s="62" t="str">
        <f t="shared" si="30"/>
        <v/>
      </c>
      <c r="P28" s="62">
        <f t="shared" si="31"/>
        <v>2.0003913043478256</v>
      </c>
      <c r="Q28" s="12">
        <f t="shared" si="32"/>
        <v>0.84199999999999997</v>
      </c>
      <c r="R28" s="62">
        <f t="shared" si="33"/>
        <v>0.95652173913043481</v>
      </c>
      <c r="S28" s="62">
        <f t="shared" si="34"/>
        <v>2.8695652173913042</v>
      </c>
      <c r="T28" s="62">
        <f t="shared" si="35"/>
        <v>0.11452173913043484</v>
      </c>
      <c r="U28" s="62" t="str">
        <f t="shared" si="36"/>
        <v/>
      </c>
      <c r="V28" s="12">
        <f t="shared" si="37"/>
        <v>7.6</v>
      </c>
      <c r="W28" s="62">
        <f t="shared" si="38"/>
        <v>4.7826086956521738</v>
      </c>
      <c r="X28" s="62">
        <f t="shared" si="39"/>
        <v>6.6956521739130439</v>
      </c>
      <c r="Y28" s="62" t="str">
        <f t="shared" si="40"/>
        <v/>
      </c>
      <c r="Z28" s="62">
        <f t="shared" si="41"/>
        <v>0.90434782608695574</v>
      </c>
      <c r="AA28" s="62">
        <f t="shared" si="18"/>
        <v>5.5478260869565217</v>
      </c>
      <c r="AB28" s="62">
        <f t="shared" si="19"/>
        <v>6.5043478260869563</v>
      </c>
      <c r="AC28" s="62" t="str">
        <f t="shared" si="42"/>
        <v/>
      </c>
      <c r="AD28" s="62">
        <f t="shared" si="43"/>
        <v>1.0956521739130434</v>
      </c>
      <c r="AE28" s="66">
        <f>SUMIF('Teaching Allocations'!$B$2:$B$200,$A28,'Teaching Allocations'!$AI$2:$AI$200)</f>
        <v>271</v>
      </c>
      <c r="AF28" s="62" t="str">
        <f t="shared" si="44"/>
        <v/>
      </c>
      <c r="AG28" s="176" t="s">
        <v>816</v>
      </c>
      <c r="AH28" s="62">
        <f>SUMIF('Teaching Allocations'!$B$2:$B$200,$A28,'Teaching Allocations'!$AA$2:$AA$200)</f>
        <v>1062.1074999999998</v>
      </c>
      <c r="AI28" s="62">
        <f>SUMIF(Supervision!$I$2:$I$153,A28,Supervision!$L$2:$L$153)</f>
        <v>102.11999999999999</v>
      </c>
      <c r="AJ28" s="62">
        <f>SUMIF('Thesis Marking'!$A$2:$A$110,$A28,'Thesis Marking'!$C$2:$C$110)</f>
        <v>5.333333333333333</v>
      </c>
      <c r="AK28" s="62">
        <f>SUMIF('Service Allocations'!$C$2:$C$181,$A28,'Service Allocations'!$F$2:$F$181) + wGC*172.5*H28/46</f>
        <v>145.3125</v>
      </c>
      <c r="AL28" s="62">
        <f t="shared" si="45"/>
        <v>1314.873333333333</v>
      </c>
    </row>
    <row r="29" spans="1:38">
      <c r="A29" s="40" t="s">
        <v>134</v>
      </c>
      <c r="B29" s="120" t="s">
        <v>5</v>
      </c>
      <c r="C29" s="120"/>
      <c r="D29" s="120"/>
      <c r="E29" s="120"/>
      <c r="F29" s="120"/>
      <c r="G29" s="120"/>
      <c r="H29" s="42">
        <v>46</v>
      </c>
      <c r="I29" s="43">
        <f t="shared" si="24"/>
        <v>4.21</v>
      </c>
      <c r="J29" s="12">
        <f t="shared" si="25"/>
        <v>0</v>
      </c>
      <c r="K29" s="12">
        <f t="shared" si="26"/>
        <v>0.124</v>
      </c>
      <c r="L29" s="12">
        <f t="shared" si="27"/>
        <v>4.3339999999999996</v>
      </c>
      <c r="M29" s="62">
        <f t="shared" si="28"/>
        <v>3</v>
      </c>
      <c r="N29" s="62">
        <f t="shared" si="29"/>
        <v>5</v>
      </c>
      <c r="O29" s="62" t="str">
        <f t="shared" si="30"/>
        <v/>
      </c>
      <c r="P29" s="62" t="str">
        <f t="shared" si="31"/>
        <v/>
      </c>
      <c r="Q29" s="12">
        <f t="shared" si="32"/>
        <v>0.95</v>
      </c>
      <c r="R29" s="62">
        <f t="shared" si="33"/>
        <v>1</v>
      </c>
      <c r="S29" s="62">
        <f t="shared" si="34"/>
        <v>3</v>
      </c>
      <c r="T29" s="62">
        <f t="shared" si="35"/>
        <v>5.0000000000000044E-2</v>
      </c>
      <c r="U29" s="62" t="str">
        <f t="shared" si="36"/>
        <v/>
      </c>
      <c r="V29" s="12">
        <f t="shared" si="37"/>
        <v>5.3</v>
      </c>
      <c r="W29" s="62">
        <f t="shared" si="38"/>
        <v>5</v>
      </c>
      <c r="X29" s="62">
        <f t="shared" si="39"/>
        <v>7</v>
      </c>
      <c r="Y29" s="62" t="str">
        <f t="shared" si="40"/>
        <v/>
      </c>
      <c r="Z29" s="62" t="str">
        <f t="shared" si="41"/>
        <v/>
      </c>
      <c r="AA29" s="62">
        <f t="shared" si="18"/>
        <v>5.8</v>
      </c>
      <c r="AB29" s="62">
        <f t="shared" si="19"/>
        <v>6.8</v>
      </c>
      <c r="AC29" s="62">
        <f t="shared" si="42"/>
        <v>0.5</v>
      </c>
      <c r="AD29" s="62" t="str">
        <f t="shared" si="43"/>
        <v/>
      </c>
      <c r="AE29" s="66">
        <f>SUMIF('Teaching Allocations'!$B$2:$B$200,$A29,'Teaching Allocations'!$AI$2:$AI$200)</f>
        <v>452</v>
      </c>
      <c r="AF29" s="62" t="str">
        <f t="shared" si="44"/>
        <v/>
      </c>
      <c r="AH29" s="62">
        <f>SUMIF('Teaching Allocations'!$B$2:$B$200,$A29,'Teaching Allocations'!$AA$2:$AA$200)</f>
        <v>725.37890000000004</v>
      </c>
      <c r="AI29" s="62">
        <f>SUMIF(Supervision!$I$2:$I$153,A29,Supervision!$L$2:$L$153)</f>
        <v>0</v>
      </c>
      <c r="AJ29" s="62">
        <f>SUMIF('Thesis Marking'!$A$2:$A$110,$A29,'Thesis Marking'!$C$2:$C$110)</f>
        <v>21.333333333333332</v>
      </c>
      <c r="AK29" s="62">
        <f>SUMIF('Service Allocations'!$C$2:$C$181,$A29,'Service Allocations'!$F$2:$F$181) + wGC*172.5*H29/46</f>
        <v>163.875</v>
      </c>
      <c r="AL29" s="62">
        <f t="shared" si="45"/>
        <v>910.58723333333342</v>
      </c>
    </row>
    <row r="30" spans="1:38">
      <c r="A30" s="41" t="s">
        <v>127</v>
      </c>
      <c r="B30" s="120" t="s">
        <v>5</v>
      </c>
      <c r="C30" s="120"/>
      <c r="D30" s="120"/>
      <c r="E30" s="120"/>
      <c r="F30" s="120"/>
      <c r="G30" s="120"/>
      <c r="H30" s="42">
        <v>46</v>
      </c>
      <c r="I30" s="43">
        <f t="shared" si="24"/>
        <v>4.26</v>
      </c>
      <c r="J30" s="12">
        <f t="shared" si="25"/>
        <v>0.12</v>
      </c>
      <c r="K30" s="12">
        <f t="shared" si="26"/>
        <v>6.2E-2</v>
      </c>
      <c r="L30" s="12">
        <f t="shared" si="27"/>
        <v>4.4420000000000002</v>
      </c>
      <c r="M30" s="62">
        <f t="shared" si="28"/>
        <v>3</v>
      </c>
      <c r="N30" s="62">
        <f t="shared" si="29"/>
        <v>5</v>
      </c>
      <c r="O30" s="62" t="str">
        <f t="shared" si="30"/>
        <v/>
      </c>
      <c r="P30" s="62" t="str">
        <f t="shared" si="31"/>
        <v/>
      </c>
      <c r="Q30" s="12">
        <f t="shared" si="32"/>
        <v>1.25</v>
      </c>
      <c r="R30" s="62">
        <f t="shared" si="33"/>
        <v>1</v>
      </c>
      <c r="S30" s="62">
        <f t="shared" si="34"/>
        <v>3</v>
      </c>
      <c r="T30" s="62" t="str">
        <f t="shared" si="35"/>
        <v/>
      </c>
      <c r="U30" s="62" t="str">
        <f t="shared" si="36"/>
        <v/>
      </c>
      <c r="V30" s="12">
        <f t="shared" si="37"/>
        <v>5.7</v>
      </c>
      <c r="W30" s="62">
        <f t="shared" si="38"/>
        <v>5</v>
      </c>
      <c r="X30" s="62">
        <f t="shared" si="39"/>
        <v>7</v>
      </c>
      <c r="Y30" s="62" t="str">
        <f t="shared" si="40"/>
        <v/>
      </c>
      <c r="Z30" s="62" t="str">
        <f t="shared" si="41"/>
        <v/>
      </c>
      <c r="AA30" s="62">
        <f t="shared" si="18"/>
        <v>5.8</v>
      </c>
      <c r="AB30" s="62">
        <f t="shared" si="19"/>
        <v>6.8</v>
      </c>
      <c r="AC30" s="62">
        <f t="shared" si="42"/>
        <v>9.9999999999999645E-2</v>
      </c>
      <c r="AD30" s="62" t="str">
        <f t="shared" si="43"/>
        <v/>
      </c>
      <c r="AE30" s="66">
        <f>SUMIF('Teaching Allocations'!$B$2:$B$200,$A30,'Teaching Allocations'!$AI$2:$AI$200)</f>
        <v>249</v>
      </c>
      <c r="AF30" s="62" t="str">
        <f t="shared" si="44"/>
        <v/>
      </c>
      <c r="AH30" s="62">
        <f>SUMIF('Teaching Allocations'!$B$2:$B$200,$A30,'Teaching Allocations'!$AA$2:$AA$200)</f>
        <v>734.79250000000002</v>
      </c>
      <c r="AI30" s="62">
        <f>SUMIF(Supervision!$I$2:$I$153,A30,Supervision!$L$2:$L$153)</f>
        <v>20.699999999999996</v>
      </c>
      <c r="AJ30" s="62">
        <f>SUMIF('Thesis Marking'!$A$2:$A$110,$A30,'Thesis Marking'!$C$2:$C$110)</f>
        <v>10.666666666666666</v>
      </c>
      <c r="AK30" s="62">
        <f>SUMIF('Service Allocations'!$C$2:$C$181,$A30,'Service Allocations'!$F$2:$F$181) + wGC*172.5*H30/46</f>
        <v>215.625</v>
      </c>
      <c r="AL30" s="62">
        <f t="shared" si="45"/>
        <v>981.78416666666669</v>
      </c>
    </row>
    <row r="31" spans="1:38">
      <c r="A31" s="41" t="s">
        <v>122</v>
      </c>
      <c r="B31" s="120" t="s">
        <v>5</v>
      </c>
      <c r="C31" s="120"/>
      <c r="D31" s="120"/>
      <c r="E31" s="120"/>
      <c r="F31" s="120"/>
      <c r="G31" s="120"/>
      <c r="H31" s="42">
        <v>44</v>
      </c>
      <c r="I31" s="43">
        <f t="shared" si="24"/>
        <v>5.1100000000000003</v>
      </c>
      <c r="J31" s="12">
        <f t="shared" si="25"/>
        <v>0.20300000000000001</v>
      </c>
      <c r="K31" s="12">
        <f t="shared" si="26"/>
        <v>0.17</v>
      </c>
      <c r="L31" s="12">
        <f t="shared" si="27"/>
        <v>5.4830000000000005</v>
      </c>
      <c r="M31" s="62">
        <f t="shared" si="28"/>
        <v>2.8695652173913042</v>
      </c>
      <c r="N31" s="62">
        <f t="shared" si="29"/>
        <v>4.7826086956521738</v>
      </c>
      <c r="O31" s="62" t="str">
        <f t="shared" si="30"/>
        <v/>
      </c>
      <c r="P31" s="62">
        <f t="shared" si="31"/>
        <v>0.7003913043478267</v>
      </c>
      <c r="Q31" s="12">
        <f t="shared" si="32"/>
        <v>0.95699999999999996</v>
      </c>
      <c r="R31" s="62">
        <f t="shared" si="33"/>
        <v>0.95652173913043481</v>
      </c>
      <c r="S31" s="62">
        <f t="shared" si="34"/>
        <v>2.8695652173913042</v>
      </c>
      <c r="T31" s="62" t="str">
        <f t="shared" si="35"/>
        <v/>
      </c>
      <c r="U31" s="62" t="str">
        <f t="shared" si="36"/>
        <v/>
      </c>
      <c r="V31" s="12">
        <f t="shared" si="37"/>
        <v>6.4</v>
      </c>
      <c r="W31" s="62">
        <f t="shared" si="38"/>
        <v>4.7826086956521738</v>
      </c>
      <c r="X31" s="62">
        <f t="shared" si="39"/>
        <v>6.6956521739130439</v>
      </c>
      <c r="Y31" s="62" t="str">
        <f t="shared" si="40"/>
        <v/>
      </c>
      <c r="Z31" s="62" t="str">
        <f t="shared" si="41"/>
        <v/>
      </c>
      <c r="AA31" s="62">
        <f t="shared" si="18"/>
        <v>5.5478260869565217</v>
      </c>
      <c r="AB31" s="62">
        <f t="shared" si="19"/>
        <v>6.5043478260869563</v>
      </c>
      <c r="AC31" s="62" t="str">
        <f t="shared" si="42"/>
        <v/>
      </c>
      <c r="AD31" s="62" t="str">
        <f t="shared" si="43"/>
        <v/>
      </c>
      <c r="AE31" s="66">
        <f>SUMIF('Teaching Allocations'!$B$2:$B$200,$A31,'Teaching Allocations'!$AI$2:$AI$200)</f>
        <v>515</v>
      </c>
      <c r="AF31" s="62" t="str">
        <f t="shared" si="44"/>
        <v/>
      </c>
      <c r="AG31" s="176" t="s">
        <v>814</v>
      </c>
      <c r="AH31" s="62">
        <f>SUMIF('Teaching Allocations'!$B$2:$B$200,$A31,'Teaching Allocations'!$AA$2:$AA$200)</f>
        <v>880.95749999999998</v>
      </c>
      <c r="AI31" s="62">
        <f>SUMIF(Supervision!$I$2:$I$153,A31,Supervision!$L$2:$L$153)</f>
        <v>34.96</v>
      </c>
      <c r="AJ31" s="62">
        <f>SUMIF('Thesis Marking'!$A$2:$A$110,$A31,'Thesis Marking'!$C$2:$C$110)</f>
        <v>29.333333333333332</v>
      </c>
      <c r="AK31" s="62">
        <f>SUMIF('Service Allocations'!$C$2:$C$181,$A31,'Service Allocations'!$F$2:$F$181) + wGC*172.5*H31/46</f>
        <v>165</v>
      </c>
      <c r="AL31" s="62">
        <f t="shared" si="45"/>
        <v>1110.2508333333335</v>
      </c>
    </row>
    <row r="32" spans="1:38">
      <c r="A32" s="40" t="s">
        <v>17</v>
      </c>
      <c r="B32" s="120" t="s">
        <v>292</v>
      </c>
      <c r="C32" s="120"/>
      <c r="D32" s="120"/>
      <c r="E32" s="120"/>
      <c r="F32" s="120"/>
      <c r="G32" s="120"/>
      <c r="H32" s="42">
        <v>46</v>
      </c>
      <c r="I32" s="43">
        <f t="shared" si="24"/>
        <v>1.38</v>
      </c>
      <c r="J32" s="12">
        <f t="shared" si="25"/>
        <v>0.14699999999999999</v>
      </c>
      <c r="K32" s="12">
        <f t="shared" si="26"/>
        <v>0.108</v>
      </c>
      <c r="L32" s="12">
        <f t="shared" si="27"/>
        <v>1.635</v>
      </c>
      <c r="M32" s="62" t="str">
        <f t="shared" si="28"/>
        <v xml:space="preserve"> </v>
      </c>
      <c r="N32" s="62" t="str">
        <f t="shared" si="29"/>
        <v xml:space="preserve"> </v>
      </c>
      <c r="O32" s="62" t="str">
        <f t="shared" si="30"/>
        <v/>
      </c>
      <c r="P32" s="62" t="str">
        <f t="shared" si="31"/>
        <v/>
      </c>
      <c r="Q32" s="12">
        <f t="shared" si="32"/>
        <v>0.75</v>
      </c>
      <c r="R32" s="62" t="str">
        <f t="shared" si="33"/>
        <v xml:space="preserve"> </v>
      </c>
      <c r="S32" s="62" t="str">
        <f t="shared" si="34"/>
        <v xml:space="preserve"> </v>
      </c>
      <c r="T32" s="62" t="str">
        <f t="shared" si="35"/>
        <v/>
      </c>
      <c r="U32" s="62" t="str">
        <f t="shared" si="36"/>
        <v/>
      </c>
      <c r="V32" s="12">
        <f t="shared" si="37"/>
        <v>2.4</v>
      </c>
      <c r="W32" s="62" t="str">
        <f t="shared" si="38"/>
        <v xml:space="preserve"> </v>
      </c>
      <c r="X32" s="62" t="str">
        <f t="shared" si="39"/>
        <v xml:space="preserve"> </v>
      </c>
      <c r="Y32" s="62" t="str">
        <f t="shared" si="40"/>
        <v/>
      </c>
      <c r="Z32" s="62" t="str">
        <f t="shared" si="41"/>
        <v/>
      </c>
      <c r="AA32" s="62" t="str">
        <f t="shared" si="18"/>
        <v xml:space="preserve"> </v>
      </c>
      <c r="AB32" s="62" t="str">
        <f t="shared" si="19"/>
        <v xml:space="preserve"> </v>
      </c>
      <c r="AC32" s="62" t="str">
        <f t="shared" si="42"/>
        <v/>
      </c>
      <c r="AD32" s="62" t="str">
        <f t="shared" si="43"/>
        <v/>
      </c>
      <c r="AE32" s="66">
        <f>SUMIF('Teaching Allocations'!$B$2:$B$200,$A32,'Teaching Allocations'!$AI$2:$AI$200)</f>
        <v>63</v>
      </c>
      <c r="AF32" s="62" t="str">
        <f t="shared" si="44"/>
        <v/>
      </c>
      <c r="AH32" s="62">
        <f>SUMIF('Teaching Allocations'!$B$2:$B$200,$A32,'Teaching Allocations'!$AA$2:$AA$200)</f>
        <v>238.01</v>
      </c>
      <c r="AI32" s="62">
        <f>SUMIF(Supervision!$I$2:$I$153,A32,Supervision!$L$2:$L$153)</f>
        <v>25.299999999999997</v>
      </c>
      <c r="AJ32" s="62">
        <f>SUMIF('Thesis Marking'!$A$2:$A$110,$A32,'Thesis Marking'!$C$2:$C$110)</f>
        <v>18.666666666666668</v>
      </c>
      <c r="AK32" s="62">
        <f>SUMIF('Service Allocations'!$C$2:$C$181,$A32,'Service Allocations'!$F$2:$F$181) + wGC*172.5*H32/46</f>
        <v>129.375</v>
      </c>
      <c r="AL32" s="62">
        <f t="shared" si="45"/>
        <v>411.35166666666669</v>
      </c>
    </row>
    <row r="33" spans="1:38">
      <c r="A33" s="40" t="s">
        <v>19</v>
      </c>
      <c r="B33" s="120" t="s">
        <v>5</v>
      </c>
      <c r="C33" s="120"/>
      <c r="D33" s="120"/>
      <c r="E33" s="120"/>
      <c r="F33" s="120"/>
      <c r="G33" s="120"/>
      <c r="H33" s="42">
        <v>46</v>
      </c>
      <c r="I33" s="43">
        <f t="shared" si="24"/>
        <v>3.31</v>
      </c>
      <c r="J33" s="12">
        <f t="shared" si="25"/>
        <v>0.78700000000000003</v>
      </c>
      <c r="K33" s="12">
        <f t="shared" si="26"/>
        <v>0.108</v>
      </c>
      <c r="L33" s="12">
        <f t="shared" si="27"/>
        <v>4.2050000000000001</v>
      </c>
      <c r="M33" s="62">
        <f t="shared" si="28"/>
        <v>3</v>
      </c>
      <c r="N33" s="62">
        <f t="shared" si="29"/>
        <v>5</v>
      </c>
      <c r="O33" s="62" t="str">
        <f t="shared" si="30"/>
        <v/>
      </c>
      <c r="P33" s="62" t="str">
        <f t="shared" si="31"/>
        <v/>
      </c>
      <c r="Q33" s="12">
        <f t="shared" si="32"/>
        <v>2</v>
      </c>
      <c r="R33" s="62">
        <f t="shared" si="33"/>
        <v>1</v>
      </c>
      <c r="S33" s="62">
        <f t="shared" si="34"/>
        <v>3</v>
      </c>
      <c r="T33" s="62" t="str">
        <f t="shared" si="35"/>
        <v/>
      </c>
      <c r="U33" s="62" t="str">
        <f t="shared" si="36"/>
        <v/>
      </c>
      <c r="V33" s="12">
        <f t="shared" si="37"/>
        <v>6.2</v>
      </c>
      <c r="W33" s="62">
        <f t="shared" si="38"/>
        <v>5</v>
      </c>
      <c r="X33" s="62">
        <f t="shared" si="39"/>
        <v>7</v>
      </c>
      <c r="Y33" s="62" t="str">
        <f t="shared" si="40"/>
        <v/>
      </c>
      <c r="Z33" s="62" t="str">
        <f t="shared" si="41"/>
        <v/>
      </c>
      <c r="AA33" s="62">
        <f t="shared" si="18"/>
        <v>5.8</v>
      </c>
      <c r="AB33" s="62">
        <f t="shared" si="19"/>
        <v>6.8</v>
      </c>
      <c r="AC33" s="62" t="str">
        <f t="shared" si="42"/>
        <v/>
      </c>
      <c r="AD33" s="62" t="str">
        <f t="shared" si="43"/>
        <v/>
      </c>
      <c r="AE33" s="66">
        <f>SUMIF('Teaching Allocations'!$B$2:$B$200,$A33,'Teaching Allocations'!$AI$2:$AI$200)</f>
        <v>20</v>
      </c>
      <c r="AF33" s="62" t="str">
        <f t="shared" si="44"/>
        <v>Y</v>
      </c>
      <c r="AH33" s="62">
        <f>SUMIF('Teaching Allocations'!$B$2:$B$200,$A33,'Teaching Allocations'!$AA$2:$AA$200)</f>
        <v>571.02500000000009</v>
      </c>
      <c r="AI33" s="62">
        <f>SUMIF(Supervision!$I$2:$I$153,A33,Supervision!$L$2:$L$153)</f>
        <v>135.69999999999999</v>
      </c>
      <c r="AJ33" s="62">
        <f>SUMIF('Thesis Marking'!$A$2:$A$110,$A33,'Thesis Marking'!$C$2:$C$110)</f>
        <v>18.666666666666668</v>
      </c>
      <c r="AK33" s="62">
        <f>SUMIF('Service Allocations'!$C$2:$C$181,$A33,'Service Allocations'!$F$2:$F$181) + wGC*172.5*H33/46</f>
        <v>345</v>
      </c>
      <c r="AL33" s="62">
        <f t="shared" si="45"/>
        <v>1070.3916666666669</v>
      </c>
    </row>
    <row r="34" spans="1:38">
      <c r="A34" s="40" t="s">
        <v>136</v>
      </c>
      <c r="B34" s="120" t="s">
        <v>5</v>
      </c>
      <c r="C34" s="120"/>
      <c r="D34" s="120"/>
      <c r="E34" s="120"/>
      <c r="F34" s="120"/>
      <c r="G34" s="120"/>
      <c r="H34" s="42">
        <v>46</v>
      </c>
      <c r="I34" s="43">
        <f t="shared" si="24"/>
        <v>4.58</v>
      </c>
      <c r="J34" s="12">
        <f t="shared" si="25"/>
        <v>0.57099999999999995</v>
      </c>
      <c r="K34" s="12">
        <f t="shared" si="26"/>
        <v>0.108</v>
      </c>
      <c r="L34" s="12">
        <f t="shared" si="27"/>
        <v>5.2589999999999995</v>
      </c>
      <c r="M34" s="62">
        <f t="shared" si="28"/>
        <v>3</v>
      </c>
      <c r="N34" s="62">
        <f t="shared" si="29"/>
        <v>5</v>
      </c>
      <c r="O34" s="62" t="str">
        <f t="shared" si="30"/>
        <v/>
      </c>
      <c r="P34" s="62">
        <f t="shared" si="31"/>
        <v>0.25899999999999945</v>
      </c>
      <c r="Q34" s="12">
        <f t="shared" si="32"/>
        <v>0.75</v>
      </c>
      <c r="R34" s="62">
        <f t="shared" si="33"/>
        <v>1</v>
      </c>
      <c r="S34" s="62">
        <f t="shared" si="34"/>
        <v>3</v>
      </c>
      <c r="T34" s="62">
        <f t="shared" si="35"/>
        <v>0.25</v>
      </c>
      <c r="U34" s="62" t="str">
        <f t="shared" si="36"/>
        <v/>
      </c>
      <c r="V34" s="12">
        <f t="shared" si="37"/>
        <v>6</v>
      </c>
      <c r="W34" s="62">
        <f t="shared" si="38"/>
        <v>5</v>
      </c>
      <c r="X34" s="62">
        <f t="shared" si="39"/>
        <v>7</v>
      </c>
      <c r="Y34" s="62" t="str">
        <f t="shared" si="40"/>
        <v/>
      </c>
      <c r="Z34" s="62" t="str">
        <f t="shared" si="41"/>
        <v/>
      </c>
      <c r="AA34" s="62">
        <f t="shared" si="18"/>
        <v>5.8</v>
      </c>
      <c r="AB34" s="62">
        <f t="shared" si="19"/>
        <v>6.8</v>
      </c>
      <c r="AC34" s="62" t="str">
        <f t="shared" si="42"/>
        <v/>
      </c>
      <c r="AD34" s="62" t="str">
        <f t="shared" si="43"/>
        <v/>
      </c>
      <c r="AE34" s="66">
        <f>SUMIF('Teaching Allocations'!$B$2:$B$200,$A34,'Teaching Allocations'!$AI$2:$AI$200)</f>
        <v>81</v>
      </c>
      <c r="AF34" s="62" t="str">
        <f t="shared" si="44"/>
        <v/>
      </c>
      <c r="AH34" s="62">
        <f>SUMIF('Teaching Allocations'!$B$2:$B$200,$A34,'Teaching Allocations'!$AA$2:$AA$200)</f>
        <v>789.4325</v>
      </c>
      <c r="AI34" s="62">
        <f>SUMIF(Supervision!$I$2:$I$153,A34,Supervision!$L$2:$L$153)</f>
        <v>98.44</v>
      </c>
      <c r="AJ34" s="62">
        <f>SUMIF('Thesis Marking'!$A$2:$A$110,$A34,'Thesis Marking'!$C$2:$C$110)</f>
        <v>18.666666666666668</v>
      </c>
      <c r="AK34" s="62">
        <f>SUMIF('Service Allocations'!$C$2:$C$181,$A34,'Service Allocations'!$F$2:$F$181) + wGC*172.5*H34/46</f>
        <v>129.375</v>
      </c>
      <c r="AL34" s="62">
        <f t="shared" si="45"/>
        <v>1035.9141666666665</v>
      </c>
    </row>
    <row r="35" spans="1:38">
      <c r="A35" s="40" t="s">
        <v>20</v>
      </c>
      <c r="B35" s="120" t="s">
        <v>4</v>
      </c>
      <c r="C35" s="120"/>
      <c r="D35" s="120"/>
      <c r="E35" s="120"/>
      <c r="F35" s="120"/>
      <c r="G35" s="120"/>
      <c r="H35" s="42">
        <v>46</v>
      </c>
      <c r="I35" s="43">
        <f t="shared" si="24"/>
        <v>3.47</v>
      </c>
      <c r="J35" s="12">
        <f t="shared" si="25"/>
        <v>0</v>
      </c>
      <c r="K35" s="12">
        <f t="shared" si="26"/>
        <v>3.1E-2</v>
      </c>
      <c r="L35" s="12">
        <f t="shared" si="27"/>
        <v>3.5010000000000003</v>
      </c>
      <c r="M35" s="62">
        <f t="shared" si="28"/>
        <v>4</v>
      </c>
      <c r="N35" s="62">
        <f t="shared" si="29"/>
        <v>7</v>
      </c>
      <c r="O35" s="62">
        <f t="shared" si="30"/>
        <v>0.49899999999999967</v>
      </c>
      <c r="P35" s="62" t="str">
        <f t="shared" si="31"/>
        <v/>
      </c>
      <c r="Q35" s="12">
        <f t="shared" si="32"/>
        <v>4.5</v>
      </c>
      <c r="R35" s="62">
        <f t="shared" si="33"/>
        <v>1</v>
      </c>
      <c r="S35" s="62">
        <f t="shared" si="34"/>
        <v>3</v>
      </c>
      <c r="T35" s="62" t="str">
        <f t="shared" si="35"/>
        <v/>
      </c>
      <c r="U35" s="62">
        <f t="shared" si="36"/>
        <v>1.5</v>
      </c>
      <c r="V35" s="12">
        <f t="shared" si="37"/>
        <v>8</v>
      </c>
      <c r="W35" s="62">
        <f t="shared" si="38"/>
        <v>5</v>
      </c>
      <c r="X35" s="62">
        <f t="shared" si="39"/>
        <v>8</v>
      </c>
      <c r="Y35" s="62" t="str">
        <f t="shared" si="40"/>
        <v/>
      </c>
      <c r="Z35" s="62" t="str">
        <f t="shared" si="41"/>
        <v/>
      </c>
      <c r="AA35" s="62">
        <f t="shared" si="18"/>
        <v>6.8</v>
      </c>
      <c r="AB35" s="62">
        <f t="shared" si="19"/>
        <v>7.8</v>
      </c>
      <c r="AC35" s="62" t="str">
        <f t="shared" si="42"/>
        <v/>
      </c>
      <c r="AD35" s="62">
        <f t="shared" si="43"/>
        <v>0.20000000000000018</v>
      </c>
      <c r="AE35" s="66">
        <f>SUMIF('Teaching Allocations'!$B$2:$B$200,$A35,'Teaching Allocations'!$AI$2:$AI$200)</f>
        <v>1092</v>
      </c>
      <c r="AF35" s="62" t="str">
        <f t="shared" si="44"/>
        <v/>
      </c>
      <c r="AH35" s="62">
        <f>SUMIF('Teaching Allocations'!$B$2:$B$200,$A35,'Teaching Allocations'!$AA$2:$AA$200)</f>
        <v>598.99360000000001</v>
      </c>
      <c r="AI35" s="62">
        <f>SUMIF(Supervision!$I$2:$I$153,A35,Supervision!$L$2:$L$153)</f>
        <v>0</v>
      </c>
      <c r="AJ35" s="62">
        <f>SUMIF('Thesis Marking'!$A$2:$A$110,$A35,'Thesis Marking'!$C$2:$C$110)</f>
        <v>5.333333333333333</v>
      </c>
      <c r="AK35" s="62">
        <f>SUMIF('Service Allocations'!$C$2:$C$181,$A35,'Service Allocations'!$F$2:$F$181) + wGC*172.5*H35/46</f>
        <v>776.25</v>
      </c>
      <c r="AL35" s="62">
        <f t="shared" si="45"/>
        <v>1380.5769333333333</v>
      </c>
    </row>
    <row r="36" spans="1:38" ht="14.25" customHeight="1">
      <c r="A36" s="126" t="s">
        <v>154</v>
      </c>
      <c r="B36" s="120" t="s">
        <v>5</v>
      </c>
      <c r="C36" s="120"/>
      <c r="D36" s="120"/>
      <c r="E36" s="120"/>
      <c r="F36" s="120"/>
      <c r="G36" s="120"/>
      <c r="H36" s="42">
        <v>32</v>
      </c>
      <c r="I36" s="43">
        <f t="shared" si="24"/>
        <v>3.8</v>
      </c>
      <c r="J36" s="12">
        <f t="shared" si="25"/>
        <v>0.08</v>
      </c>
      <c r="K36" s="12">
        <f t="shared" si="26"/>
        <v>0.124</v>
      </c>
      <c r="L36" s="12">
        <f t="shared" si="27"/>
        <v>4.0039999999999996</v>
      </c>
      <c r="M36" s="62">
        <f t="shared" si="28"/>
        <v>2.0869565217391304</v>
      </c>
      <c r="N36" s="62">
        <f t="shared" si="29"/>
        <v>3.4782608695652173</v>
      </c>
      <c r="O36" s="62" t="str">
        <f t="shared" si="30"/>
        <v/>
      </c>
      <c r="P36" s="62">
        <f t="shared" si="31"/>
        <v>0.52573913043478226</v>
      </c>
      <c r="Q36" s="12">
        <f t="shared" si="32"/>
        <v>0.77200000000000002</v>
      </c>
      <c r="R36" s="62">
        <f t="shared" si="33"/>
        <v>0.69565217391304346</v>
      </c>
      <c r="S36" s="62">
        <f t="shared" si="34"/>
        <v>2.0869565217391304</v>
      </c>
      <c r="T36" s="62" t="str">
        <f t="shared" si="35"/>
        <v/>
      </c>
      <c r="U36" s="62" t="str">
        <f t="shared" si="36"/>
        <v/>
      </c>
      <c r="V36" s="12">
        <f t="shared" si="37"/>
        <v>4.8</v>
      </c>
      <c r="W36" s="62">
        <f t="shared" si="38"/>
        <v>3.4782608695652173</v>
      </c>
      <c r="X36" s="62">
        <f t="shared" si="39"/>
        <v>4.8695652173913047</v>
      </c>
      <c r="Y36" s="62" t="str">
        <f t="shared" si="40"/>
        <v/>
      </c>
      <c r="Z36" s="62" t="str">
        <f t="shared" si="41"/>
        <v/>
      </c>
      <c r="AA36" s="62">
        <f t="shared" si="18"/>
        <v>4.034782608695652</v>
      </c>
      <c r="AB36" s="62">
        <f t="shared" si="19"/>
        <v>4.7304347826086959</v>
      </c>
      <c r="AC36" s="62" t="str">
        <f t="shared" si="42"/>
        <v/>
      </c>
      <c r="AD36" s="62">
        <f t="shared" si="43"/>
        <v>6.9565217391303946E-2</v>
      </c>
      <c r="AE36" s="66">
        <f>SUMIF('Teaching Allocations'!$B$2:$B$200,$A36,'Teaching Allocations'!$AI$2:$AI$200)</f>
        <v>276</v>
      </c>
      <c r="AF36" s="62" t="str">
        <f t="shared" si="44"/>
        <v/>
      </c>
      <c r="AG36" s="177" t="s">
        <v>814</v>
      </c>
      <c r="AH36" s="62">
        <f>SUMIF('Teaching Allocations'!$B$2:$B$200,$A36,'Teaching Allocations'!$AA$2:$AA$200)</f>
        <v>654.77</v>
      </c>
      <c r="AI36" s="62">
        <f>SUMIF(Supervision!$I$2:$I$153,A36,Supervision!$L$2:$L$153)</f>
        <v>13.799999999999999</v>
      </c>
      <c r="AJ36" s="62">
        <f>SUMIF('Thesis Marking'!$A$2:$A$110,$A36,'Thesis Marking'!$C$2:$C$110)</f>
        <v>21.333333333333332</v>
      </c>
      <c r="AK36" s="62">
        <f>SUMIF('Service Allocations'!$C$2:$C$181,$A36,'Service Allocations'!$F$2:$F$181) + wGC*172.5*H36/46</f>
        <v>133.125</v>
      </c>
      <c r="AL36" s="62">
        <f t="shared" si="45"/>
        <v>823.02833333333331</v>
      </c>
    </row>
    <row r="37" spans="1:38">
      <c r="A37" s="126" t="s">
        <v>141</v>
      </c>
      <c r="B37" s="120" t="s">
        <v>5</v>
      </c>
      <c r="C37" s="120"/>
      <c r="D37" s="120"/>
      <c r="E37" s="120"/>
      <c r="F37" s="120"/>
      <c r="G37" s="120"/>
      <c r="H37" s="42">
        <v>46</v>
      </c>
      <c r="I37" s="43">
        <f t="shared" si="24"/>
        <v>4.3499999999999996</v>
      </c>
      <c r="J37" s="12">
        <f t="shared" si="25"/>
        <v>0.34699999999999998</v>
      </c>
      <c r="K37" s="12">
        <f t="shared" si="26"/>
        <v>3.1E-2</v>
      </c>
      <c r="L37" s="12">
        <f t="shared" si="27"/>
        <v>4.7279999999999989</v>
      </c>
      <c r="M37" s="62">
        <f t="shared" si="28"/>
        <v>3</v>
      </c>
      <c r="N37" s="62">
        <f t="shared" si="29"/>
        <v>5</v>
      </c>
      <c r="O37" s="62" t="str">
        <f t="shared" si="30"/>
        <v/>
      </c>
      <c r="P37" s="62" t="str">
        <f t="shared" si="31"/>
        <v/>
      </c>
      <c r="Q37" s="12">
        <f t="shared" si="32"/>
        <v>1.75</v>
      </c>
      <c r="R37" s="62">
        <f t="shared" si="33"/>
        <v>1</v>
      </c>
      <c r="S37" s="62">
        <f t="shared" si="34"/>
        <v>3</v>
      </c>
      <c r="T37" s="62" t="str">
        <f t="shared" si="35"/>
        <v/>
      </c>
      <c r="U37" s="62" t="str">
        <f t="shared" si="36"/>
        <v/>
      </c>
      <c r="V37" s="12">
        <f t="shared" si="37"/>
        <v>6.5</v>
      </c>
      <c r="W37" s="62">
        <f t="shared" si="38"/>
        <v>5</v>
      </c>
      <c r="X37" s="62">
        <f t="shared" si="39"/>
        <v>7</v>
      </c>
      <c r="Y37" s="62" t="str">
        <f t="shared" si="40"/>
        <v/>
      </c>
      <c r="Z37" s="62" t="str">
        <f t="shared" si="41"/>
        <v/>
      </c>
      <c r="AA37" s="62">
        <f t="shared" si="18"/>
        <v>5.8</v>
      </c>
      <c r="AB37" s="62">
        <f t="shared" si="19"/>
        <v>6.8</v>
      </c>
      <c r="AC37" s="62" t="str">
        <f t="shared" si="42"/>
        <v/>
      </c>
      <c r="AD37" s="62" t="str">
        <f t="shared" si="43"/>
        <v/>
      </c>
      <c r="AE37" s="66">
        <f>SUMIF('Teaching Allocations'!$B$2:$B$200,$A37,'Teaching Allocations'!$AI$2:$AI$200)</f>
        <v>43</v>
      </c>
      <c r="AF37" s="62" t="str">
        <f t="shared" si="44"/>
        <v>Y</v>
      </c>
      <c r="AH37" s="62">
        <f>SUMIF('Teaching Allocations'!$B$2:$B$200,$A37,'Teaching Allocations'!$AA$2:$AA$200)</f>
        <v>749.7974999999999</v>
      </c>
      <c r="AI37" s="62">
        <f>SUMIF(Supervision!$I$2:$I$153,A37,Supervision!$L$2:$L$153)</f>
        <v>59.8</v>
      </c>
      <c r="AJ37" s="62">
        <f>SUMIF('Thesis Marking'!$A$2:$A$110,$A37,'Thesis Marking'!$C$2:$C$110)</f>
        <v>5.333333333333333</v>
      </c>
      <c r="AK37" s="62">
        <f>SUMIF('Service Allocations'!$C$2:$C$181,$A37,'Service Allocations'!$F$2:$F$181) + wGC*172.5*H37/46</f>
        <v>301.875</v>
      </c>
      <c r="AL37" s="62">
        <f t="shared" si="45"/>
        <v>1116.8058333333333</v>
      </c>
    </row>
    <row r="38" spans="1:38">
      <c r="A38" s="40" t="s">
        <v>137</v>
      </c>
      <c r="B38" s="120" t="s">
        <v>5</v>
      </c>
      <c r="C38" s="120"/>
      <c r="D38" s="120"/>
      <c r="E38" s="120"/>
      <c r="F38" s="120"/>
      <c r="G38" s="120"/>
      <c r="H38" s="42">
        <v>46</v>
      </c>
      <c r="I38" s="43">
        <f t="shared" si="24"/>
        <v>3.86</v>
      </c>
      <c r="J38" s="12">
        <f t="shared" si="25"/>
        <v>0.95499999999999996</v>
      </c>
      <c r="K38" s="12">
        <f t="shared" si="26"/>
        <v>9.2999999999999999E-2</v>
      </c>
      <c r="L38" s="12">
        <f t="shared" si="27"/>
        <v>4.9079999999999995</v>
      </c>
      <c r="M38" s="62">
        <f t="shared" si="28"/>
        <v>3</v>
      </c>
      <c r="N38" s="62">
        <f t="shared" si="29"/>
        <v>5</v>
      </c>
      <c r="O38" s="62" t="str">
        <f t="shared" si="30"/>
        <v/>
      </c>
      <c r="P38" s="62" t="str">
        <f t="shared" si="31"/>
        <v/>
      </c>
      <c r="Q38" s="12">
        <f t="shared" si="32"/>
        <v>1.25</v>
      </c>
      <c r="R38" s="62">
        <f t="shared" si="33"/>
        <v>1</v>
      </c>
      <c r="S38" s="62">
        <f t="shared" si="34"/>
        <v>3</v>
      </c>
      <c r="T38" s="62" t="str">
        <f t="shared" si="35"/>
        <v/>
      </c>
      <c r="U38" s="62" t="str">
        <f t="shared" si="36"/>
        <v/>
      </c>
      <c r="V38" s="12">
        <f t="shared" si="37"/>
        <v>6.2</v>
      </c>
      <c r="W38" s="62">
        <f t="shared" si="38"/>
        <v>5</v>
      </c>
      <c r="X38" s="62">
        <f t="shared" si="39"/>
        <v>7</v>
      </c>
      <c r="Y38" s="62" t="str">
        <f t="shared" si="40"/>
        <v/>
      </c>
      <c r="Z38" s="62" t="str">
        <f t="shared" si="41"/>
        <v/>
      </c>
      <c r="AA38" s="62">
        <f t="shared" si="18"/>
        <v>5.8</v>
      </c>
      <c r="AB38" s="62">
        <f t="shared" si="19"/>
        <v>6.8</v>
      </c>
      <c r="AC38" s="62" t="str">
        <f t="shared" si="42"/>
        <v/>
      </c>
      <c r="AD38" s="62" t="str">
        <f t="shared" si="43"/>
        <v/>
      </c>
      <c r="AE38" s="66">
        <f>SUMIF('Teaching Allocations'!$B$2:$B$200,$A38,'Teaching Allocations'!$AI$2:$AI$200)</f>
        <v>332</v>
      </c>
      <c r="AF38" s="62" t="str">
        <f t="shared" si="44"/>
        <v/>
      </c>
      <c r="AH38" s="62">
        <f>SUMIF('Teaching Allocations'!$B$2:$B$200,$A38,'Teaching Allocations'!$AA$2:$AA$200)</f>
        <v>666.39</v>
      </c>
      <c r="AI38" s="62">
        <f>SUMIF(Supervision!$I$2:$I$153,A38,Supervision!$L$2:$L$153)</f>
        <v>164.67999999999998</v>
      </c>
      <c r="AJ38" s="62">
        <f>SUMIF('Thesis Marking'!$A$2:$A$110,$A38,'Thesis Marking'!$C$2:$C$110)</f>
        <v>16</v>
      </c>
      <c r="AK38" s="62">
        <f>SUMIF('Service Allocations'!$C$2:$C$181,$A38,'Service Allocations'!$F$2:$F$181) + wGC*172.5*H38/46</f>
        <v>215.625</v>
      </c>
      <c r="AL38" s="62">
        <f t="shared" si="45"/>
        <v>1062.6949999999999</v>
      </c>
    </row>
    <row r="39" spans="1:38">
      <c r="A39" s="40" t="s">
        <v>138</v>
      </c>
      <c r="B39" s="120" t="s">
        <v>5</v>
      </c>
      <c r="C39" s="120"/>
      <c r="D39" s="120"/>
      <c r="E39" s="120"/>
      <c r="F39" s="120"/>
      <c r="G39" s="120"/>
      <c r="H39" s="42">
        <v>46</v>
      </c>
      <c r="I39" s="43">
        <f t="shared" si="24"/>
        <v>5.16</v>
      </c>
      <c r="J39" s="12">
        <f t="shared" si="25"/>
        <v>0.498</v>
      </c>
      <c r="K39" s="12">
        <f t="shared" si="26"/>
        <v>0.13900000000000001</v>
      </c>
      <c r="L39" s="12">
        <f t="shared" si="27"/>
        <v>5.7970000000000006</v>
      </c>
      <c r="M39" s="62">
        <f t="shared" si="28"/>
        <v>3</v>
      </c>
      <c r="N39" s="62">
        <f t="shared" si="29"/>
        <v>5</v>
      </c>
      <c r="O39" s="62" t="str">
        <f t="shared" si="30"/>
        <v/>
      </c>
      <c r="P39" s="62">
        <f t="shared" si="31"/>
        <v>0.7970000000000006</v>
      </c>
      <c r="Q39" s="12">
        <f t="shared" si="32"/>
        <v>1.05</v>
      </c>
      <c r="R39" s="62">
        <f t="shared" si="33"/>
        <v>1</v>
      </c>
      <c r="S39" s="62">
        <f t="shared" si="34"/>
        <v>3</v>
      </c>
      <c r="T39" s="62" t="str">
        <f t="shared" si="35"/>
        <v/>
      </c>
      <c r="U39" s="62" t="str">
        <f t="shared" si="36"/>
        <v/>
      </c>
      <c r="V39" s="12">
        <f t="shared" si="37"/>
        <v>6.8</v>
      </c>
      <c r="W39" s="62">
        <f t="shared" si="38"/>
        <v>5</v>
      </c>
      <c r="X39" s="62">
        <f t="shared" si="39"/>
        <v>7</v>
      </c>
      <c r="Y39" s="62" t="str">
        <f t="shared" si="40"/>
        <v/>
      </c>
      <c r="Z39" s="62" t="str">
        <f t="shared" si="41"/>
        <v/>
      </c>
      <c r="AA39" s="62">
        <f t="shared" si="18"/>
        <v>5.8</v>
      </c>
      <c r="AB39" s="62">
        <f t="shared" si="19"/>
        <v>6.8</v>
      </c>
      <c r="AC39" s="62" t="str">
        <f t="shared" si="42"/>
        <v/>
      </c>
      <c r="AD39" s="62" t="str">
        <f t="shared" si="43"/>
        <v/>
      </c>
      <c r="AE39" s="66">
        <f>SUMIF('Teaching Allocations'!$B$2:$B$200,$A39,'Teaching Allocations'!$AI$2:$AI$200)</f>
        <v>340</v>
      </c>
      <c r="AF39" s="62" t="str">
        <f t="shared" si="44"/>
        <v/>
      </c>
      <c r="AH39" s="62">
        <f>SUMIF('Teaching Allocations'!$B$2:$B$200,$A39,'Teaching Allocations'!$AA$2:$AA$200)</f>
        <v>890.30000000000007</v>
      </c>
      <c r="AI39" s="62">
        <f>SUMIF(Supervision!$I$2:$I$153,A39,Supervision!$L$2:$L$153)</f>
        <v>85.975999999999999</v>
      </c>
      <c r="AJ39" s="62">
        <f>SUMIF('Thesis Marking'!$A$2:$A$110,$A39,'Thesis Marking'!$C$2:$C$110)</f>
        <v>24</v>
      </c>
      <c r="AK39" s="62">
        <f>SUMIF('Service Allocations'!$C$2:$C$181,$A39,'Service Allocations'!$F$2:$F$181) + wGC*172.5*H39/46</f>
        <v>181.125</v>
      </c>
      <c r="AL39" s="62">
        <f t="shared" si="45"/>
        <v>1181.4010000000001</v>
      </c>
    </row>
    <row r="40" spans="1:38">
      <c r="A40" s="126" t="s">
        <v>21</v>
      </c>
      <c r="B40" s="120" t="s">
        <v>5</v>
      </c>
      <c r="C40" s="120"/>
      <c r="D40" s="120"/>
      <c r="E40" s="120"/>
      <c r="F40" s="120"/>
      <c r="G40" s="120"/>
      <c r="H40" s="42">
        <v>46</v>
      </c>
      <c r="I40" s="43">
        <f t="shared" si="24"/>
        <v>3.9</v>
      </c>
      <c r="J40" s="12">
        <f t="shared" si="25"/>
        <v>0.4</v>
      </c>
      <c r="K40" s="12">
        <f t="shared" si="26"/>
        <v>9.2999999999999999E-2</v>
      </c>
      <c r="L40" s="12">
        <f t="shared" si="27"/>
        <v>4.3929999999999998</v>
      </c>
      <c r="M40" s="62">
        <f t="shared" si="28"/>
        <v>3</v>
      </c>
      <c r="N40" s="62">
        <f t="shared" si="29"/>
        <v>5</v>
      </c>
      <c r="O40" s="62" t="str">
        <f t="shared" si="30"/>
        <v/>
      </c>
      <c r="P40" s="62" t="str">
        <f t="shared" si="31"/>
        <v/>
      </c>
      <c r="Q40" s="12">
        <f t="shared" si="32"/>
        <v>2.5</v>
      </c>
      <c r="R40" s="62">
        <f t="shared" si="33"/>
        <v>1</v>
      </c>
      <c r="S40" s="62">
        <f t="shared" si="34"/>
        <v>3</v>
      </c>
      <c r="T40" s="62" t="str">
        <f t="shared" si="35"/>
        <v/>
      </c>
      <c r="U40" s="62" t="str">
        <f t="shared" si="36"/>
        <v/>
      </c>
      <c r="V40" s="12">
        <f t="shared" si="37"/>
        <v>6.9</v>
      </c>
      <c r="W40" s="62">
        <f t="shared" si="38"/>
        <v>5</v>
      </c>
      <c r="X40" s="62">
        <f t="shared" si="39"/>
        <v>7</v>
      </c>
      <c r="Y40" s="62" t="str">
        <f t="shared" si="40"/>
        <v/>
      </c>
      <c r="Z40" s="62" t="str">
        <f t="shared" si="41"/>
        <v/>
      </c>
      <c r="AA40" s="62">
        <f t="shared" si="18"/>
        <v>5.8</v>
      </c>
      <c r="AB40" s="62">
        <f t="shared" si="19"/>
        <v>6.8</v>
      </c>
      <c r="AC40" s="62" t="str">
        <f t="shared" si="42"/>
        <v/>
      </c>
      <c r="AD40" s="62">
        <f t="shared" si="43"/>
        <v>0.10000000000000053</v>
      </c>
      <c r="AE40" s="66">
        <f>SUMIF('Teaching Allocations'!$B$2:$B$200,$A40,'Teaching Allocations'!$AI$2:$AI$200)</f>
        <v>954</v>
      </c>
      <c r="AF40" s="62" t="str">
        <f t="shared" si="44"/>
        <v/>
      </c>
      <c r="AH40" s="62">
        <f>SUMIF('Teaching Allocations'!$B$2:$B$200,$A40,'Teaching Allocations'!$AA$2:$AA$200)</f>
        <v>672.21250000000009</v>
      </c>
      <c r="AI40" s="62">
        <f>SUMIF(Supervision!$I$2:$I$153,A40,Supervision!$L$2:$L$153)</f>
        <v>69</v>
      </c>
      <c r="AJ40" s="62">
        <f>SUMIF('Thesis Marking'!$A$2:$A$110,$A40,'Thesis Marking'!$C$2:$C$110)</f>
        <v>16</v>
      </c>
      <c r="AK40" s="62">
        <f>SUMIF('Service Allocations'!$C$2:$C$181,$A40,'Service Allocations'!$F$2:$F$181) + wGC*172.5*H40/46</f>
        <v>431.25</v>
      </c>
      <c r="AL40" s="62">
        <f t="shared" si="45"/>
        <v>1188.4625000000001</v>
      </c>
    </row>
    <row r="41" spans="1:38" ht="15.95" customHeight="1">
      <c r="A41" s="41" t="s">
        <v>201</v>
      </c>
      <c r="B41" s="120" t="s">
        <v>5</v>
      </c>
      <c r="C41" s="120"/>
      <c r="D41" s="120"/>
      <c r="E41" s="120"/>
      <c r="F41" s="120"/>
      <c r="G41" s="120"/>
      <c r="H41" s="42">
        <v>27</v>
      </c>
      <c r="I41" s="43">
        <f t="shared" si="24"/>
        <v>2.4</v>
      </c>
      <c r="J41" s="12">
        <f t="shared" si="25"/>
        <v>0.315</v>
      </c>
      <c r="K41" s="12">
        <f t="shared" si="26"/>
        <v>6.2E-2</v>
      </c>
      <c r="L41" s="12">
        <f t="shared" si="27"/>
        <v>2.7769999999999997</v>
      </c>
      <c r="M41" s="62">
        <f t="shared" si="28"/>
        <v>1.7608695652173914</v>
      </c>
      <c r="N41" s="62">
        <f t="shared" si="29"/>
        <v>2.9347826086956523</v>
      </c>
      <c r="O41" s="62" t="str">
        <f t="shared" si="30"/>
        <v/>
      </c>
      <c r="P41" s="62" t="str">
        <f t="shared" si="31"/>
        <v/>
      </c>
      <c r="Q41" s="12">
        <f t="shared" si="32"/>
        <v>0.58699999999999997</v>
      </c>
      <c r="R41" s="62">
        <f t="shared" si="33"/>
        <v>0.58695652173913049</v>
      </c>
      <c r="S41" s="62">
        <f t="shared" si="34"/>
        <v>1.7608695652173914</v>
      </c>
      <c r="T41" s="62" t="str">
        <f t="shared" si="35"/>
        <v/>
      </c>
      <c r="U41" s="62" t="str">
        <f t="shared" si="36"/>
        <v/>
      </c>
      <c r="V41" s="12">
        <f t="shared" si="37"/>
        <v>3.4</v>
      </c>
      <c r="W41" s="62">
        <f t="shared" si="38"/>
        <v>2.9347826086956523</v>
      </c>
      <c r="X41" s="62">
        <f t="shared" si="39"/>
        <v>4.1086956521739131</v>
      </c>
      <c r="Y41" s="62" t="str">
        <f t="shared" si="40"/>
        <v/>
      </c>
      <c r="Z41" s="62" t="str">
        <f t="shared" si="41"/>
        <v/>
      </c>
      <c r="AA41" s="62">
        <f t="shared" si="18"/>
        <v>3.4043478260869562</v>
      </c>
      <c r="AB41" s="62">
        <f t="shared" si="19"/>
        <v>3.991304347826087</v>
      </c>
      <c r="AC41" s="62">
        <f t="shared" si="42"/>
        <v>4.3478260869562746E-3</v>
      </c>
      <c r="AD41" s="62" t="str">
        <f t="shared" si="43"/>
        <v/>
      </c>
      <c r="AE41" s="66">
        <f>SUMIF('Teaching Allocations'!$B$2:$B$200,$A41,'Teaching Allocations'!$AI$2:$AI$200)</f>
        <v>254</v>
      </c>
      <c r="AF41" s="62" t="str">
        <f t="shared" si="44"/>
        <v/>
      </c>
      <c r="AG41" s="177" t="s">
        <v>814</v>
      </c>
      <c r="AH41" s="62">
        <f>SUMIF('Teaching Allocations'!$B$2:$B$200,$A41,'Teaching Allocations'!$AA$2:$AA$200)</f>
        <v>413.45499999999998</v>
      </c>
      <c r="AI41" s="62">
        <f>SUMIF(Supervision!$I$2:$I$153,A41,Supervision!$L$2:$L$153)</f>
        <v>54.279999999999994</v>
      </c>
      <c r="AJ41" s="62">
        <f>SUMIF('Thesis Marking'!$A$2:$A$110,$A41,'Thesis Marking'!$C$2:$C$110)</f>
        <v>10.666666666666666</v>
      </c>
      <c r="AK41" s="62">
        <f>SUMIF('Service Allocations'!$C$2:$C$181,$A41,'Service Allocations'!$F$2:$F$181) + wGC*172.5*H41/46</f>
        <v>101.25</v>
      </c>
      <c r="AL41" s="62">
        <f t="shared" si="45"/>
        <v>579.65166666666664</v>
      </c>
    </row>
    <row r="42" spans="1:38">
      <c r="A42" s="41" t="s">
        <v>139</v>
      </c>
      <c r="B42" s="120" t="s">
        <v>5</v>
      </c>
      <c r="C42" s="120"/>
      <c r="D42" s="120"/>
      <c r="E42" s="120"/>
      <c r="F42" s="120"/>
      <c r="G42" s="120"/>
      <c r="H42" s="42">
        <v>46</v>
      </c>
      <c r="I42" s="43">
        <f t="shared" si="24"/>
        <v>5.33</v>
      </c>
      <c r="J42" s="12">
        <f t="shared" si="25"/>
        <v>9.2999999999999999E-2</v>
      </c>
      <c r="K42" s="12">
        <f t="shared" si="26"/>
        <v>6.2E-2</v>
      </c>
      <c r="L42" s="12">
        <f t="shared" si="27"/>
        <v>5.4850000000000003</v>
      </c>
      <c r="M42" s="62">
        <f t="shared" si="28"/>
        <v>3</v>
      </c>
      <c r="N42" s="62">
        <f t="shared" si="29"/>
        <v>5</v>
      </c>
      <c r="O42" s="62" t="str">
        <f t="shared" si="30"/>
        <v/>
      </c>
      <c r="P42" s="62">
        <f t="shared" si="31"/>
        <v>0.48500000000000032</v>
      </c>
      <c r="Q42" s="12">
        <f t="shared" si="32"/>
        <v>1.35</v>
      </c>
      <c r="R42" s="62">
        <f t="shared" si="33"/>
        <v>1</v>
      </c>
      <c r="S42" s="62">
        <f t="shared" si="34"/>
        <v>3</v>
      </c>
      <c r="T42" s="62" t="str">
        <f t="shared" si="35"/>
        <v/>
      </c>
      <c r="U42" s="62" t="str">
        <f t="shared" si="36"/>
        <v/>
      </c>
      <c r="V42" s="12">
        <f t="shared" si="37"/>
        <v>6.8</v>
      </c>
      <c r="W42" s="62">
        <f t="shared" si="38"/>
        <v>5</v>
      </c>
      <c r="X42" s="62">
        <f t="shared" si="39"/>
        <v>7</v>
      </c>
      <c r="Y42" s="62" t="str">
        <f t="shared" si="40"/>
        <v/>
      </c>
      <c r="Z42" s="62" t="str">
        <f t="shared" si="41"/>
        <v/>
      </c>
      <c r="AA42" s="62">
        <f t="shared" si="18"/>
        <v>5.8</v>
      </c>
      <c r="AB42" s="62">
        <f t="shared" si="19"/>
        <v>6.8</v>
      </c>
      <c r="AC42" s="62" t="str">
        <f t="shared" si="42"/>
        <v/>
      </c>
      <c r="AD42" s="62" t="str">
        <f t="shared" si="43"/>
        <v/>
      </c>
      <c r="AE42" s="66">
        <f>SUMIF('Teaching Allocations'!$B$2:$B$200,$A42,'Teaching Allocations'!$AI$2:$AI$200)</f>
        <v>875</v>
      </c>
      <c r="AF42" s="62" t="str">
        <f t="shared" si="44"/>
        <v/>
      </c>
      <c r="AH42" s="62">
        <f>SUMIF('Teaching Allocations'!$B$2:$B$200,$A42,'Teaching Allocations'!$AA$2:$AA$200)</f>
        <v>918.98329999999999</v>
      </c>
      <c r="AI42" s="62">
        <f>SUMIF(Supervision!$I$2:$I$153,A42,Supervision!$L$2:$L$153)</f>
        <v>16.099999999999998</v>
      </c>
      <c r="AJ42" s="62">
        <f>SUMIF('Thesis Marking'!$A$2:$A$110,$A42,'Thesis Marking'!$C$2:$C$110)</f>
        <v>10.666666666666666</v>
      </c>
      <c r="AK42" s="62">
        <f>SUMIF('Service Allocations'!$C$2:$C$181,$A42,'Service Allocations'!$F$2:$F$181) + wGC*172.5*H42/46</f>
        <v>232.875</v>
      </c>
      <c r="AL42" s="62">
        <f t="shared" si="45"/>
        <v>1178.6249666666668</v>
      </c>
    </row>
    <row r="43" spans="1:38">
      <c r="A43" s="41" t="s">
        <v>126</v>
      </c>
      <c r="B43" s="120" t="s">
        <v>4</v>
      </c>
      <c r="C43" s="120"/>
      <c r="D43" s="120"/>
      <c r="E43" s="120"/>
      <c r="F43" s="120"/>
      <c r="G43" s="120"/>
      <c r="H43" s="42">
        <v>46</v>
      </c>
      <c r="I43" s="43">
        <f t="shared" si="24"/>
        <v>6.17</v>
      </c>
      <c r="J43" s="12">
        <f t="shared" si="25"/>
        <v>2.7E-2</v>
      </c>
      <c r="K43" s="12">
        <f t="shared" si="26"/>
        <v>7.6999999999999999E-2</v>
      </c>
      <c r="L43" s="12">
        <f t="shared" si="27"/>
        <v>6.274</v>
      </c>
      <c r="M43" s="62">
        <f t="shared" si="28"/>
        <v>4</v>
      </c>
      <c r="N43" s="62">
        <f t="shared" si="29"/>
        <v>7</v>
      </c>
      <c r="O43" s="62" t="str">
        <f t="shared" si="30"/>
        <v/>
      </c>
      <c r="P43" s="62" t="str">
        <f t="shared" si="31"/>
        <v/>
      </c>
      <c r="Q43" s="12">
        <f t="shared" si="32"/>
        <v>1</v>
      </c>
      <c r="R43" s="62">
        <f t="shared" si="33"/>
        <v>1</v>
      </c>
      <c r="S43" s="62">
        <f t="shared" si="34"/>
        <v>3</v>
      </c>
      <c r="T43" s="62" t="str">
        <f t="shared" si="35"/>
        <v/>
      </c>
      <c r="U43" s="62" t="str">
        <f t="shared" si="36"/>
        <v/>
      </c>
      <c r="V43" s="12">
        <f t="shared" si="37"/>
        <v>7.3</v>
      </c>
      <c r="W43" s="62">
        <f t="shared" si="38"/>
        <v>5</v>
      </c>
      <c r="X43" s="62">
        <f t="shared" si="39"/>
        <v>8</v>
      </c>
      <c r="Y43" s="62" t="str">
        <f t="shared" si="40"/>
        <v/>
      </c>
      <c r="Z43" s="62" t="str">
        <f t="shared" si="41"/>
        <v/>
      </c>
      <c r="AA43" s="62">
        <f t="shared" si="18"/>
        <v>6.8</v>
      </c>
      <c r="AB43" s="62">
        <f t="shared" si="19"/>
        <v>7.8</v>
      </c>
      <c r="AC43" s="62" t="str">
        <f t="shared" si="42"/>
        <v/>
      </c>
      <c r="AD43" s="62" t="str">
        <f t="shared" si="43"/>
        <v/>
      </c>
      <c r="AE43" s="66">
        <f>SUMIF('Teaching Allocations'!$B$2:$B$200,$A43,'Teaching Allocations'!$AI$2:$AI$200)</f>
        <v>587</v>
      </c>
      <c r="AF43" s="62" t="str">
        <f t="shared" si="44"/>
        <v/>
      </c>
      <c r="AH43" s="62">
        <f>SUMIF('Teaching Allocations'!$B$2:$B$200,$A43,'Teaching Allocations'!$AA$2:$AA$200)</f>
        <v>1063.9275</v>
      </c>
      <c r="AI43" s="62">
        <f>SUMIF(Supervision!$I$2:$I$153,A43,Supervision!$L$2:$L$153)</f>
        <v>4.5999999999999996</v>
      </c>
      <c r="AJ43" s="62">
        <f>SUMIF('Thesis Marking'!$A$2:$A$110,$A43,'Thesis Marking'!$C$2:$C$110)</f>
        <v>13.333333333333334</v>
      </c>
      <c r="AK43" s="62">
        <f>SUMIF('Service Allocations'!$C$2:$C$181,$A43,'Service Allocations'!$F$2:$F$181) + wGC*172.5*H43/46</f>
        <v>172.5</v>
      </c>
      <c r="AL43" s="62">
        <f t="shared" si="45"/>
        <v>1254.3608333333332</v>
      </c>
    </row>
    <row r="44" spans="1:38">
      <c r="A44" s="41" t="s">
        <v>144</v>
      </c>
      <c r="B44" s="172" t="s">
        <v>812</v>
      </c>
      <c r="F44" s="120"/>
      <c r="H44" s="173">
        <v>27.6</v>
      </c>
      <c r="I44" s="43">
        <f t="shared" si="24"/>
        <v>2.08</v>
      </c>
      <c r="J44" s="12">
        <f t="shared" si="25"/>
        <v>0</v>
      </c>
      <c r="K44" s="12">
        <f t="shared" si="26"/>
        <v>0</v>
      </c>
      <c r="L44" s="12">
        <f t="shared" si="27"/>
        <v>2.08</v>
      </c>
      <c r="M44" s="62" t="str">
        <f t="shared" si="28"/>
        <v xml:space="preserve"> </v>
      </c>
      <c r="N44" s="62" t="str">
        <f t="shared" si="29"/>
        <v xml:space="preserve"> </v>
      </c>
      <c r="O44" s="62" t="str">
        <f t="shared" si="30"/>
        <v/>
      </c>
      <c r="P44" s="62" t="str">
        <f t="shared" si="31"/>
        <v/>
      </c>
      <c r="Q44" s="12">
        <f t="shared" si="32"/>
        <v>0.95</v>
      </c>
      <c r="R44" s="62" t="str">
        <f t="shared" si="33"/>
        <v xml:space="preserve"> </v>
      </c>
      <c r="S44" s="62" t="str">
        <f t="shared" si="34"/>
        <v xml:space="preserve"> </v>
      </c>
      <c r="T44" s="62" t="str">
        <f t="shared" si="35"/>
        <v/>
      </c>
      <c r="U44" s="62" t="str">
        <f t="shared" si="36"/>
        <v/>
      </c>
      <c r="V44" s="12">
        <f t="shared" si="37"/>
        <v>3</v>
      </c>
      <c r="W44" s="62" t="str">
        <f t="shared" si="38"/>
        <v xml:space="preserve"> </v>
      </c>
      <c r="X44" s="62" t="str">
        <f t="shared" si="39"/>
        <v xml:space="preserve"> </v>
      </c>
      <c r="Y44" s="62" t="str">
        <f t="shared" si="40"/>
        <v/>
      </c>
      <c r="Z44" s="62" t="str">
        <f t="shared" si="41"/>
        <v/>
      </c>
      <c r="AA44" s="62" t="str">
        <f t="shared" si="18"/>
        <v xml:space="preserve"> </v>
      </c>
      <c r="AB44" s="62" t="str">
        <f t="shared" si="19"/>
        <v xml:space="preserve"> </v>
      </c>
      <c r="AC44" s="62" t="str">
        <f t="shared" si="42"/>
        <v/>
      </c>
      <c r="AD44" s="62" t="str">
        <f t="shared" si="43"/>
        <v/>
      </c>
      <c r="AE44" s="66">
        <f>SUMIF('Teaching Allocations'!$B$2:$B$200,$A44,'Teaching Allocations'!$AI$2:$AI$200)</f>
        <v>378</v>
      </c>
      <c r="AF44" s="62" t="str">
        <f t="shared" si="44"/>
        <v/>
      </c>
      <c r="AH44" s="62">
        <f>SUMIF('Teaching Allocations'!$B$2:$B$200,$A44,'Teaching Allocations'!$AA$2:$AA$200)</f>
        <v>358.88239999999996</v>
      </c>
      <c r="AI44" s="62">
        <f>SUMIF(Supervision!$I$2:$I$153,A44,Supervision!$L$2:$L$153)</f>
        <v>0</v>
      </c>
      <c r="AJ44" s="62">
        <f>SUMIF('Thesis Marking'!$A$2:$A$110,$A44,'Thesis Marking'!$C$2:$C$110)</f>
        <v>0</v>
      </c>
      <c r="AK44" s="62">
        <f>SUMIF('Service Allocations'!$C$2:$C$181,$A44,'Service Allocations'!$F$2:$F$181) + wGC*172.5*H44/46</f>
        <v>163.875</v>
      </c>
      <c r="AL44" s="62">
        <f t="shared" si="45"/>
        <v>522.75739999999996</v>
      </c>
    </row>
    <row r="45" spans="1:38" ht="14.25" customHeight="1">
      <c r="A45" s="41" t="s">
        <v>585</v>
      </c>
      <c r="B45" s="70" t="s">
        <v>5</v>
      </c>
      <c r="C45" s="120" t="s">
        <v>252</v>
      </c>
      <c r="F45" s="120"/>
      <c r="H45" s="42">
        <v>34</v>
      </c>
      <c r="I45" s="43">
        <f t="shared" si="24"/>
        <v>2.15</v>
      </c>
      <c r="J45" s="12">
        <f t="shared" si="25"/>
        <v>0</v>
      </c>
      <c r="K45" s="12">
        <f t="shared" si="26"/>
        <v>0</v>
      </c>
      <c r="L45" s="12">
        <f t="shared" si="27"/>
        <v>2.15</v>
      </c>
      <c r="M45" s="62">
        <f t="shared" si="28"/>
        <v>1.182608695652174</v>
      </c>
      <c r="N45" s="62">
        <f t="shared" si="29"/>
        <v>2.6608695652173915</v>
      </c>
      <c r="O45" s="62" t="str">
        <f t="shared" si="30"/>
        <v/>
      </c>
      <c r="P45" s="62" t="str">
        <f t="shared" si="31"/>
        <v/>
      </c>
      <c r="Q45" s="12">
        <f t="shared" si="32"/>
        <v>0.55400000000000005</v>
      </c>
      <c r="R45" s="62">
        <f t="shared" si="33"/>
        <v>0.18478260869565216</v>
      </c>
      <c r="S45" s="62">
        <f t="shared" si="34"/>
        <v>0.92391304347826086</v>
      </c>
      <c r="T45" s="62" t="str">
        <f t="shared" si="35"/>
        <v/>
      </c>
      <c r="U45" s="62" t="str">
        <f t="shared" si="36"/>
        <v/>
      </c>
      <c r="V45" s="12">
        <f t="shared" si="37"/>
        <v>2.7</v>
      </c>
      <c r="W45" s="62">
        <f t="shared" si="38"/>
        <v>2.1065217391304345</v>
      </c>
      <c r="X45" s="62">
        <f t="shared" si="39"/>
        <v>3.5847826086956518</v>
      </c>
      <c r="Y45" s="62" t="str">
        <f t="shared" si="40"/>
        <v/>
      </c>
      <c r="Z45" s="62" t="str">
        <f t="shared" si="41"/>
        <v/>
      </c>
      <c r="AA45" s="62">
        <f t="shared" si="18"/>
        <v>4.2869565217391301</v>
      </c>
      <c r="AB45" s="62">
        <f t="shared" si="19"/>
        <v>5.0260869565217385</v>
      </c>
      <c r="AC45" s="62">
        <f t="shared" si="42"/>
        <v>1.5869565217391299</v>
      </c>
      <c r="AD45" s="62" t="str">
        <f t="shared" si="43"/>
        <v/>
      </c>
      <c r="AE45" s="66">
        <f>SUMIF('Teaching Allocations'!$B$2:$B$200,$A45,'Teaching Allocations'!$AI$2:$AI$200)</f>
        <v>261</v>
      </c>
      <c r="AF45" s="62" t="str">
        <f t="shared" si="44"/>
        <v/>
      </c>
      <c r="AG45" s="177" t="s">
        <v>817</v>
      </c>
      <c r="AH45" s="62">
        <f>SUMIF('Teaching Allocations'!$B$2:$B$200,$A45,'Teaching Allocations'!$AA$2:$AA$200)</f>
        <v>371.72</v>
      </c>
      <c r="AI45" s="62">
        <f>SUMIF(Supervision!$I$2:$I$153,A45,Supervision!$L$2:$L$153)</f>
        <v>0</v>
      </c>
      <c r="AJ45" s="62">
        <f>SUMIF('Thesis Marking'!$A$2:$A$110,$A45,'Thesis Marking'!$C$2:$C$110)</f>
        <v>0</v>
      </c>
      <c r="AK45" s="62">
        <f>SUMIF('Service Allocations'!$C$2:$C$181,$A45,'Service Allocations'!$F$2:$F$181) + wGC*172.5*H45/46</f>
        <v>95.625</v>
      </c>
      <c r="AL45" s="62">
        <f t="shared" si="45"/>
        <v>467.34500000000003</v>
      </c>
    </row>
    <row r="46" spans="1:38">
      <c r="A46" s="41" t="s">
        <v>140</v>
      </c>
      <c r="B46" s="120" t="s">
        <v>5</v>
      </c>
      <c r="C46" s="120"/>
      <c r="D46" s="120"/>
      <c r="E46" s="120"/>
      <c r="F46" s="120"/>
      <c r="G46" s="120"/>
      <c r="H46" s="42">
        <v>46</v>
      </c>
      <c r="I46" s="43">
        <f t="shared" si="24"/>
        <v>3.67</v>
      </c>
      <c r="J46" s="12">
        <f t="shared" si="25"/>
        <v>0.38100000000000001</v>
      </c>
      <c r="K46" s="12">
        <f t="shared" si="26"/>
        <v>0.13900000000000001</v>
      </c>
      <c r="L46" s="12">
        <f t="shared" si="27"/>
        <v>4.1900000000000004</v>
      </c>
      <c r="M46" s="62">
        <f t="shared" si="28"/>
        <v>3</v>
      </c>
      <c r="N46" s="62">
        <f t="shared" si="29"/>
        <v>5</v>
      </c>
      <c r="O46" s="62" t="str">
        <f t="shared" si="30"/>
        <v/>
      </c>
      <c r="P46" s="62" t="str">
        <f t="shared" si="31"/>
        <v/>
      </c>
      <c r="Q46" s="12">
        <f t="shared" si="32"/>
        <v>2</v>
      </c>
      <c r="R46" s="62">
        <f t="shared" si="33"/>
        <v>1</v>
      </c>
      <c r="S46" s="62">
        <f t="shared" si="34"/>
        <v>3</v>
      </c>
      <c r="T46" s="62" t="str">
        <f t="shared" si="35"/>
        <v/>
      </c>
      <c r="U46" s="62" t="str">
        <f t="shared" si="36"/>
        <v/>
      </c>
      <c r="V46" s="12">
        <f t="shared" si="37"/>
        <v>6.2</v>
      </c>
      <c r="W46" s="62">
        <f t="shared" si="38"/>
        <v>5</v>
      </c>
      <c r="X46" s="62">
        <f t="shared" si="39"/>
        <v>7</v>
      </c>
      <c r="Y46" s="62" t="str">
        <f t="shared" si="40"/>
        <v/>
      </c>
      <c r="Z46" s="62" t="str">
        <f t="shared" si="41"/>
        <v/>
      </c>
      <c r="AA46" s="62">
        <f t="shared" si="18"/>
        <v>5.8</v>
      </c>
      <c r="AB46" s="62">
        <f t="shared" si="19"/>
        <v>6.8</v>
      </c>
      <c r="AC46" s="62" t="str">
        <f t="shared" si="42"/>
        <v/>
      </c>
      <c r="AD46" s="62" t="str">
        <f t="shared" si="43"/>
        <v/>
      </c>
      <c r="AE46" s="66">
        <f>SUMIF('Teaching Allocations'!$B$2:$B$200,$A46,'Teaching Allocations'!$AI$2:$AI$200)</f>
        <v>108</v>
      </c>
      <c r="AF46" s="62" t="str">
        <f t="shared" si="44"/>
        <v/>
      </c>
      <c r="AH46" s="62">
        <f>SUMIF('Teaching Allocations'!$B$2:$B$200,$A46,'Teaching Allocations'!$AA$2:$AA$200)</f>
        <v>633.91000000000008</v>
      </c>
      <c r="AI46" s="62">
        <f>SUMIF(Supervision!$I$2:$I$153,A46,Supervision!$L$2:$L$153)</f>
        <v>65.78</v>
      </c>
      <c r="AJ46" s="62">
        <f>SUMIF('Thesis Marking'!$A$2:$A$110,$A46,'Thesis Marking'!$C$2:$C$110)</f>
        <v>24</v>
      </c>
      <c r="AK46" s="62">
        <f>SUMIF('Service Allocations'!$C$2:$C$181,$A46,'Service Allocations'!$F$2:$F$181) + wGC*172.5*H46/46</f>
        <v>345</v>
      </c>
      <c r="AL46" s="62">
        <f t="shared" si="45"/>
        <v>1068.69</v>
      </c>
    </row>
    <row r="47" spans="1:38">
      <c r="A47" s="40" t="s">
        <v>22</v>
      </c>
      <c r="B47" s="120" t="s">
        <v>18</v>
      </c>
      <c r="C47" s="120"/>
      <c r="D47" s="120"/>
      <c r="E47" s="120"/>
      <c r="F47" s="120"/>
      <c r="G47" s="120"/>
      <c r="H47" s="42">
        <v>46</v>
      </c>
      <c r="I47" s="43">
        <f t="shared" si="24"/>
        <v>0</v>
      </c>
      <c r="J47" s="12">
        <f t="shared" si="25"/>
        <v>0.65600000000000003</v>
      </c>
      <c r="K47" s="12">
        <f t="shared" si="26"/>
        <v>1.4999999999999999E-2</v>
      </c>
      <c r="L47" s="12">
        <f t="shared" si="27"/>
        <v>0.67100000000000004</v>
      </c>
      <c r="M47" s="62" t="str">
        <f t="shared" si="28"/>
        <v xml:space="preserve"> </v>
      </c>
      <c r="N47" s="62" t="str">
        <f t="shared" si="29"/>
        <v xml:space="preserve"> </v>
      </c>
      <c r="O47" s="62" t="str">
        <f t="shared" si="30"/>
        <v/>
      </c>
      <c r="P47" s="62" t="str">
        <f t="shared" si="31"/>
        <v/>
      </c>
      <c r="Q47" s="12">
        <f t="shared" si="32"/>
        <v>1.5</v>
      </c>
      <c r="R47" s="62" t="str">
        <f t="shared" si="33"/>
        <v xml:space="preserve"> </v>
      </c>
      <c r="S47" s="62" t="str">
        <f t="shared" si="34"/>
        <v xml:space="preserve"> </v>
      </c>
      <c r="T47" s="62" t="str">
        <f t="shared" si="35"/>
        <v/>
      </c>
      <c r="U47" s="62" t="str">
        <f t="shared" si="36"/>
        <v/>
      </c>
      <c r="V47" s="12">
        <f t="shared" si="37"/>
        <v>2.2000000000000002</v>
      </c>
      <c r="W47" s="62" t="str">
        <f t="shared" si="38"/>
        <v xml:space="preserve"> </v>
      </c>
      <c r="X47" s="62" t="str">
        <f t="shared" si="39"/>
        <v xml:space="preserve"> </v>
      </c>
      <c r="Y47" s="62" t="str">
        <f t="shared" si="40"/>
        <v/>
      </c>
      <c r="Z47" s="62" t="str">
        <f t="shared" si="41"/>
        <v/>
      </c>
      <c r="AA47" s="62" t="str">
        <f t="shared" si="18"/>
        <v xml:space="preserve"> </v>
      </c>
      <c r="AB47" s="62" t="str">
        <f t="shared" si="19"/>
        <v xml:space="preserve"> </v>
      </c>
      <c r="AC47" s="62" t="str">
        <f t="shared" si="42"/>
        <v/>
      </c>
      <c r="AD47" s="62" t="str">
        <f t="shared" si="43"/>
        <v/>
      </c>
      <c r="AE47" s="66">
        <f>SUMIF('Teaching Allocations'!$B$2:$B$200,$A47,'Teaching Allocations'!$AI$2:$AI$200)</f>
        <v>0</v>
      </c>
      <c r="AF47" s="62" t="str">
        <f t="shared" si="44"/>
        <v/>
      </c>
      <c r="AH47" s="62">
        <f>SUMIF('Teaching Allocations'!$B$2:$B$200,$A47,'Teaching Allocations'!$AA$2:$AA$200)</f>
        <v>0</v>
      </c>
      <c r="AI47" s="62">
        <f>SUMIF(Supervision!$I$2:$I$153,A47,Supervision!$L$2:$L$153)</f>
        <v>113.16</v>
      </c>
      <c r="AJ47" s="62">
        <f>SUMIF('Thesis Marking'!$A$2:$A$110,$A47,'Thesis Marking'!$C$2:$C$110)</f>
        <v>2.6666666666666665</v>
      </c>
      <c r="AK47" s="62">
        <f>SUMIF('Service Allocations'!$C$2:$C$181,$A47,'Service Allocations'!$F$2:$F$181) + wGC*172.5*H47/46</f>
        <v>258.75</v>
      </c>
      <c r="AL47" s="62">
        <f t="shared" si="45"/>
        <v>374.57666666666665</v>
      </c>
    </row>
    <row r="48" spans="1:38">
      <c r="A48" s="41" t="s">
        <v>268</v>
      </c>
      <c r="B48" s="120" t="s">
        <v>523</v>
      </c>
      <c r="C48" s="120"/>
      <c r="D48" s="120"/>
      <c r="E48" s="120"/>
      <c r="F48" s="120"/>
      <c r="G48" s="120"/>
      <c r="H48" s="42">
        <v>46</v>
      </c>
      <c r="I48" s="43">
        <f t="shared" si="24"/>
        <v>0</v>
      </c>
      <c r="J48" s="12">
        <f t="shared" si="25"/>
        <v>0.36</v>
      </c>
      <c r="K48" s="12">
        <f t="shared" si="26"/>
        <v>0</v>
      </c>
      <c r="L48" s="12">
        <f t="shared" si="27"/>
        <v>0.36</v>
      </c>
      <c r="M48" s="62" t="str">
        <f t="shared" si="28"/>
        <v xml:space="preserve"> </v>
      </c>
      <c r="N48" s="62" t="str">
        <f t="shared" si="29"/>
        <v xml:space="preserve"> </v>
      </c>
      <c r="O48" s="62" t="str">
        <f t="shared" si="30"/>
        <v/>
      </c>
      <c r="P48" s="62" t="str">
        <f t="shared" si="31"/>
        <v/>
      </c>
      <c r="Q48" s="12">
        <f t="shared" si="32"/>
        <v>8</v>
      </c>
      <c r="R48" s="62" t="str">
        <f t="shared" si="33"/>
        <v xml:space="preserve"> </v>
      </c>
      <c r="S48" s="62" t="str">
        <f t="shared" si="34"/>
        <v xml:space="preserve"> </v>
      </c>
      <c r="T48" s="62" t="str">
        <f t="shared" si="35"/>
        <v/>
      </c>
      <c r="U48" s="62" t="str">
        <f t="shared" si="36"/>
        <v/>
      </c>
      <c r="V48" s="12">
        <f t="shared" si="37"/>
        <v>8.4</v>
      </c>
      <c r="W48" s="62" t="str">
        <f t="shared" si="38"/>
        <v xml:space="preserve"> </v>
      </c>
      <c r="X48" s="62" t="str">
        <f t="shared" si="39"/>
        <v xml:space="preserve"> </v>
      </c>
      <c r="Y48" s="62" t="str">
        <f t="shared" si="40"/>
        <v/>
      </c>
      <c r="Z48" s="62" t="str">
        <f t="shared" si="41"/>
        <v/>
      </c>
      <c r="AA48" s="62" t="str">
        <f t="shared" si="18"/>
        <v xml:space="preserve"> </v>
      </c>
      <c r="AB48" s="62" t="str">
        <f t="shared" si="19"/>
        <v xml:space="preserve"> </v>
      </c>
      <c r="AC48" s="62" t="str">
        <f t="shared" si="42"/>
        <v/>
      </c>
      <c r="AD48" s="62" t="str">
        <f t="shared" si="43"/>
        <v/>
      </c>
      <c r="AE48" s="66">
        <f>SUMIF('Teaching Allocations'!$B$2:$B$200,$A48,'Teaching Allocations'!$AI$2:$AI$200)</f>
        <v>0</v>
      </c>
      <c r="AF48" s="62" t="str">
        <f t="shared" si="44"/>
        <v/>
      </c>
      <c r="AH48" s="62">
        <f>SUMIF('Teaching Allocations'!$B$2:$B$200,$A48,'Teaching Allocations'!$AA$2:$AA$200)</f>
        <v>0</v>
      </c>
      <c r="AI48" s="62">
        <f>SUMIF(Supervision!$I$2:$I$153,A48,Supervision!$L$2:$L$153)</f>
        <v>62.099999999999994</v>
      </c>
      <c r="AJ48" s="62">
        <f>SUMIF('Thesis Marking'!$A$2:$A$110,$A48,'Thesis Marking'!$C$2:$C$110)</f>
        <v>0</v>
      </c>
      <c r="AK48" s="62">
        <f>SUMIF('Service Allocations'!$C$2:$C$181,$A48,'Service Allocations'!$F$2:$F$181) + wGC*172.5*H48/46</f>
        <v>1380</v>
      </c>
      <c r="AL48" s="62">
        <f t="shared" si="45"/>
        <v>1442.1</v>
      </c>
    </row>
    <row r="50" spans="1:38" s="179" customFormat="1">
      <c r="A50" s="179" t="s">
        <v>759</v>
      </c>
      <c r="B50" s="178"/>
      <c r="C50" s="178"/>
      <c r="D50" s="178"/>
      <c r="E50" s="178"/>
      <c r="F50" s="178"/>
      <c r="G50" s="178"/>
      <c r="H50" s="180"/>
      <c r="I50" s="180"/>
      <c r="J50" s="180"/>
      <c r="K50" s="180"/>
      <c r="L50" s="180"/>
      <c r="M50" s="180"/>
      <c r="N50" s="180"/>
      <c r="O50" s="181"/>
      <c r="P50" s="181"/>
      <c r="Q50" s="180"/>
      <c r="R50" s="180"/>
      <c r="S50" s="180"/>
      <c r="T50" s="181"/>
      <c r="U50" s="181"/>
      <c r="V50" s="180"/>
      <c r="W50" s="180"/>
      <c r="X50" s="180"/>
      <c r="Y50" s="181"/>
      <c r="Z50" s="181"/>
      <c r="AA50" s="180"/>
      <c r="AB50" s="180"/>
      <c r="AC50" s="181"/>
      <c r="AD50" s="181"/>
      <c r="AE50" s="178"/>
      <c r="AF50" s="181"/>
      <c r="AG50" s="182"/>
      <c r="AH50" s="180"/>
      <c r="AI50" s="180"/>
      <c r="AJ50" s="180"/>
      <c r="AK50" s="180"/>
      <c r="AL50" s="180"/>
    </row>
    <row r="51" spans="1:38" s="179" customFormat="1">
      <c r="A51" s="179" t="s">
        <v>5</v>
      </c>
      <c r="B51" s="178"/>
      <c r="C51" s="178"/>
      <c r="D51" s="178"/>
      <c r="E51" s="178"/>
      <c r="F51" s="178"/>
      <c r="G51" s="178"/>
      <c r="H51" s="178">
        <f t="shared" ref="H51:N51" si="46">ROUNDUP(46*AVERAGEIF($B2:$B48,$A51,H2:H48)/AVERAGEIF($B2:$B48,$A51,$H2:$H48),1)</f>
        <v>46</v>
      </c>
      <c r="I51" s="178">
        <f t="shared" si="46"/>
        <v>4.3</v>
      </c>
      <c r="J51" s="178">
        <f t="shared" si="46"/>
        <v>0.4</v>
      </c>
      <c r="K51" s="178">
        <f t="shared" si="46"/>
        <v>0.1</v>
      </c>
      <c r="L51" s="183">
        <f t="shared" si="46"/>
        <v>4.8</v>
      </c>
      <c r="M51" s="178">
        <f t="shared" si="46"/>
        <v>3</v>
      </c>
      <c r="N51" s="178">
        <f t="shared" si="46"/>
        <v>5</v>
      </c>
      <c r="O51" s="181"/>
      <c r="P51" s="181"/>
      <c r="Q51" s="183">
        <f>ROUNDUP(46*AVERAGEIF($B2:$B48,$A51,Q2:Q48)/AVERAGEIF($B2:$B48,$A51,$H2:$H48),1)</f>
        <v>1.6</v>
      </c>
      <c r="R51" s="178">
        <f>ROUNDUP(46*AVERAGEIF($B2:$B48,$A51,R2:R48)/AVERAGEIF($B2:$B48,$A51,$H2:$H48),1)</f>
        <v>1</v>
      </c>
      <c r="S51" s="178">
        <f>ROUNDUP(46*AVERAGEIF($B2:$B48,$A51,S2:S48)/AVERAGEIF($B2:$B48,$A51,$H2:$H48),1)</f>
        <v>3</v>
      </c>
      <c r="T51" s="181"/>
      <c r="U51" s="181"/>
      <c r="V51" s="178">
        <f>ROUNDUP(46*AVERAGEIF($B2:$B48,$A51,V2:V48)/AVERAGEIF($B2:$B48,$A51,$H2:$H48),1)</f>
        <v>6.3</v>
      </c>
      <c r="W51" s="178">
        <f>ROUNDUP(46*AVERAGEIF($B2:$B48,$A51,W2:W48)/AVERAGEIF($B2:$B48,$A51,$H2:$H48),1)</f>
        <v>4.8999999999999995</v>
      </c>
      <c r="X51" s="178">
        <f>ROUNDUP(46*AVERAGEIF($B2:$B48,$A51,X2:X48)/AVERAGEIF($B2:$B48,$A51,$H2:$H48),1)</f>
        <v>6.8999999999999995</v>
      </c>
      <c r="Y51" s="181"/>
      <c r="Z51" s="181"/>
      <c r="AA51" s="178">
        <f>ROUNDUP(46*AVERAGEIF($B2:$B48,$A51,AA2:AA48)/AVERAGEIF($B2:$B48,$A51,$H2:$H48),1)</f>
        <v>5.8</v>
      </c>
      <c r="AB51" s="178">
        <f>ROUNDUP(46*AVERAGEIF($B2:$B48,$A51,AB2:AB48)/AVERAGEIF($B2:$B48,$A51,$H2:$H48),1)</f>
        <v>6.8</v>
      </c>
      <c r="AC51" s="181"/>
      <c r="AD51" s="181"/>
      <c r="AE51" s="178"/>
      <c r="AF51" s="181"/>
      <c r="AG51" s="182"/>
      <c r="AH51" s="178">
        <f>ROUNDUP(46*AVERAGEIF($B2:$B48,$A51,AH2:AH48)/AVERAGEIF($B2:$B48,$A51,$H2:$H48),1)</f>
        <v>734.4</v>
      </c>
      <c r="AI51" s="178">
        <f>ROUNDUP(46*AVERAGEIF($B2:$B48,$A51,AI2:AI48)/AVERAGEIF($B2:$B48,$A51,$H2:$H48),1)</f>
        <v>63.1</v>
      </c>
      <c r="AJ51" s="178">
        <f>ROUNDUP(46*AVERAGEIF($B2:$B48,$A51,AJ2:AJ48)/AVERAGEIF($B2:$B48,$A51,$H2:$H48),1)</f>
        <v>14.5</v>
      </c>
      <c r="AK51" s="178">
        <f>ROUNDUP(46*AVERAGEIF($B2:$B48,$A51,AK2:AK48)/AVERAGEIF($B2:$B48,$A51,$H2:$H48),1)</f>
        <v>267.90000000000003</v>
      </c>
      <c r="AL51" s="178">
        <f>ROUNDUP(46*AVERAGEIF($B2:$B48,$A51,AL2:AL48)/AVERAGEIF($B2:$B48,$A51,$H2:$H48),1)</f>
        <v>1079.8999999999999</v>
      </c>
    </row>
    <row r="52" spans="1:38" s="179" customFormat="1">
      <c r="A52" s="179" t="s">
        <v>4</v>
      </c>
      <c r="B52" s="178"/>
      <c r="C52" s="178"/>
      <c r="D52" s="178"/>
      <c r="E52" s="178"/>
      <c r="F52" s="178"/>
      <c r="G52" s="178"/>
      <c r="H52" s="178">
        <f t="shared" ref="H52:N52" si="47">ROUNDUP(46*AVERAGEIF($B2:$B48,$A52,H2:H48)/AVERAGEIF($B2:$B48,$A52,$H2:$H48),1)</f>
        <v>46</v>
      </c>
      <c r="I52" s="178">
        <f t="shared" si="47"/>
        <v>5.1999999999999993</v>
      </c>
      <c r="J52" s="178">
        <f t="shared" si="47"/>
        <v>0.1</v>
      </c>
      <c r="K52" s="178">
        <f t="shared" si="47"/>
        <v>0.1</v>
      </c>
      <c r="L52" s="178">
        <f t="shared" si="47"/>
        <v>5.3</v>
      </c>
      <c r="M52" s="178">
        <f t="shared" si="47"/>
        <v>3.9</v>
      </c>
      <c r="N52" s="178">
        <f t="shared" si="47"/>
        <v>6.8999999999999995</v>
      </c>
      <c r="O52" s="181"/>
      <c r="P52" s="181"/>
      <c r="Q52" s="183">
        <f>ROUNDUP(46*AVERAGEIF($B2:$B48,$A52,Q2:Q48)/AVERAGEIF($B2:$B48,$A52,$H2:$H48),1)</f>
        <v>2.1</v>
      </c>
      <c r="R52" s="178">
        <f>ROUNDUP(46*AVERAGEIF($B2:$B48,$A52,R2:R48)/AVERAGEIF($B2:$B48,$A52,$H2:$H48),1)</f>
        <v>0.9</v>
      </c>
      <c r="S52" s="178">
        <f>ROUNDUP(46*AVERAGEIF($B2:$B48,$A52,S2:S48)/AVERAGEIF($B2:$B48,$A52,$H2:$H48),1)</f>
        <v>2.9</v>
      </c>
      <c r="T52" s="181"/>
      <c r="U52" s="181"/>
      <c r="V52" s="178">
        <f>ROUNDUP(46*AVERAGEIF($B2:$B48,$A52,V2:V48)/AVERAGEIF($B2:$B48,$A52,$H2:$H48),1)</f>
        <v>7.3</v>
      </c>
      <c r="W52" s="178">
        <f>ROUNDUP(46*AVERAGEIF($B2:$B48,$A52,W2:W48)/AVERAGEIF($B2:$B48,$A52,$H2:$H48),1)</f>
        <v>4.8</v>
      </c>
      <c r="X52" s="178">
        <f>ROUNDUP(46*AVERAGEIF($B2:$B48,$A52,X2:X48)/AVERAGEIF($B2:$B48,$A52,$H2:$H48),1)</f>
        <v>7.8</v>
      </c>
      <c r="Y52" s="181"/>
      <c r="Z52" s="181"/>
      <c r="AA52" s="178">
        <f>ROUNDUP(46*AVERAGEIF($B2:$B48,$A52,AA2:AA48)/AVERAGEIF($B2:$B48,$A52,$H2:$H48),1)</f>
        <v>6.8</v>
      </c>
      <c r="AB52" s="178">
        <f>ROUNDUP(46*AVERAGEIF($B2:$B48,$A52,AB2:AB48)/AVERAGEIF($B2:$B48,$A52,$H2:$H48),1)</f>
        <v>7.8</v>
      </c>
      <c r="AC52" s="181"/>
      <c r="AD52" s="181"/>
      <c r="AE52" s="178"/>
      <c r="AF52" s="181"/>
      <c r="AG52" s="182"/>
      <c r="AH52" s="178">
        <f>ROUNDUP(46*AVERAGEIF($B2:$B48,$A52,AH2:AH48)/AVERAGEIF($B2:$B48,$A52,$H2:$H48),1)</f>
        <v>881.7</v>
      </c>
      <c r="AI52" s="178">
        <f>ROUNDUP(46*AVERAGEIF($B2:$B48,$A52,AI2:AI48)/AVERAGEIF($B2:$B48,$A52,$H2:$H48),1)</f>
        <v>9.9</v>
      </c>
      <c r="AJ52" s="178">
        <f>ROUNDUP(46*AVERAGEIF($B2:$B48,$A52,AJ2:AJ48)/AVERAGEIF($B2:$B48,$A52,$H2:$H48),1)</f>
        <v>6.4</v>
      </c>
      <c r="AK52" s="178">
        <f>ROUNDUP(46*AVERAGEIF($B2:$B48,$A52,AK2:AK48)/AVERAGEIF($B2:$B48,$A52,$H2:$H48),1)</f>
        <v>355.40000000000003</v>
      </c>
      <c r="AL52" s="178">
        <f>ROUNDUP(46*AVERAGEIF($B2:$B48,$A52,AL2:AL48)/AVERAGEIF($B2:$B48,$A52,$H2:$H48),1)</f>
        <v>1253.3</v>
      </c>
    </row>
    <row r="53" spans="1:38" s="179" customFormat="1">
      <c r="A53" s="179" t="s">
        <v>761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>
        <f>ROUNDUP(L52/L51,2)</f>
        <v>1.1100000000000001</v>
      </c>
      <c r="M53" s="178"/>
      <c r="N53" s="178"/>
      <c r="O53" s="184"/>
      <c r="P53" s="184"/>
      <c r="Q53" s="178"/>
      <c r="R53" s="178"/>
      <c r="S53" s="178"/>
      <c r="T53" s="184"/>
      <c r="U53" s="184"/>
      <c r="V53" s="178"/>
      <c r="W53" s="178"/>
      <c r="X53" s="178"/>
      <c r="Y53" s="184"/>
      <c r="Z53" s="185"/>
      <c r="AA53" s="178"/>
      <c r="AB53" s="178"/>
      <c r="AC53" s="181"/>
      <c r="AD53" s="181"/>
      <c r="AE53" s="178"/>
      <c r="AF53" s="181"/>
      <c r="AG53" s="182"/>
      <c r="AH53" s="186"/>
      <c r="AI53" s="186"/>
      <c r="AJ53" s="186"/>
      <c r="AK53" s="186"/>
      <c r="AL53" s="186"/>
    </row>
    <row r="54" spans="1:38">
      <c r="L54" s="65"/>
    </row>
    <row r="74" spans="12:12">
      <c r="L74" s="29"/>
    </row>
  </sheetData>
  <sheetProtection algorithmName="SHA-512" hashValue="+GWKPhs/DxXdTY8QNkdFCHvHTPvnrXFWAVh1oJWWFuDOTHepvvpwclZd3QHoLINlov+AS8mXvr4lIbx1Mp0RyQ==" saltValue="J0+SaIABW9gaiCxYi+fX/Q==" spinCount="100000" sheet="1" formatCells="0" formatColumns="0" formatRows="0" insertColumns="0" insertRows="0" insertHyperlinks="0" deleteColumns="0" deleteRows="0" sort="0" autoFilter="0"/>
  <autoFilter ref="A1:AL1">
    <sortState ref="A2:AL61">
      <sortCondition ref="A1:A61"/>
    </sortState>
  </autoFilter>
  <sortState ref="A19:W33">
    <sortCondition ref="A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75</vt:i4>
      </vt:variant>
    </vt:vector>
  </HeadingPairs>
  <TitlesOfParts>
    <vt:vector size="82" baseType="lpstr">
      <vt:lpstr>Weights</vt:lpstr>
      <vt:lpstr>Courses</vt:lpstr>
      <vt:lpstr>Teaching Allocations</vt:lpstr>
      <vt:lpstr>Supervision</vt:lpstr>
      <vt:lpstr>Thesis Marking</vt:lpstr>
      <vt:lpstr>Service Allocations</vt:lpstr>
      <vt:lpstr>Workloads</vt:lpstr>
      <vt:lpstr>EBTF1_lb</vt:lpstr>
      <vt:lpstr>EBTF1_ub</vt:lpstr>
      <vt:lpstr>EBTFP_lb</vt:lpstr>
      <vt:lpstr>EBTFP_ub</vt:lpstr>
      <vt:lpstr>EBTR1_lb</vt:lpstr>
      <vt:lpstr>EBTR1_ub</vt:lpstr>
      <vt:lpstr>EBTRP_lb</vt:lpstr>
      <vt:lpstr>EBTRP_ub</vt:lpstr>
      <vt:lpstr>ECDTRP_lb</vt:lpstr>
      <vt:lpstr>ECDTRP_ub</vt:lpstr>
      <vt:lpstr>ETF_lb</vt:lpstr>
      <vt:lpstr>ETF_ub</vt:lpstr>
      <vt:lpstr>ETR_lb</vt:lpstr>
      <vt:lpstr>ETR_ub</vt:lpstr>
      <vt:lpstr>Lcap</vt:lpstr>
      <vt:lpstr>maxCACH</vt:lpstr>
      <vt:lpstr>maxCCH</vt:lpstr>
      <vt:lpstr>maxCMH</vt:lpstr>
      <vt:lpstr>maxTCH</vt:lpstr>
      <vt:lpstr>RBTR1_lb</vt:lpstr>
      <vt:lpstr>RBTR1_ub</vt:lpstr>
      <vt:lpstr>RBTRP_lb</vt:lpstr>
      <vt:lpstr>RBTRP_ub</vt:lpstr>
      <vt:lpstr>RCDTRP_lb</vt:lpstr>
      <vt:lpstr>RCDTRP_ub</vt:lpstr>
      <vt:lpstr>RTR_lb</vt:lpstr>
      <vt:lpstr>RTR_ub</vt:lpstr>
      <vt:lpstr>SBTF1_lb</vt:lpstr>
      <vt:lpstr>SBTF1_ub</vt:lpstr>
      <vt:lpstr>SBTFP_lb</vt:lpstr>
      <vt:lpstr>SBTFP_ub</vt:lpstr>
      <vt:lpstr>SBTR1_lb</vt:lpstr>
      <vt:lpstr>SBTR1_ub</vt:lpstr>
      <vt:lpstr>SBTRP_lb</vt:lpstr>
      <vt:lpstr>SBTRP_ub</vt:lpstr>
      <vt:lpstr>SCDTRP_lb</vt:lpstr>
      <vt:lpstr>SCDTRP_ub</vt:lpstr>
      <vt:lpstr>STF_lb</vt:lpstr>
      <vt:lpstr>STF_ub</vt:lpstr>
      <vt:lpstr>STLBTF1_lb</vt:lpstr>
      <vt:lpstr>STLBTF1_ub</vt:lpstr>
      <vt:lpstr>STLBTFP_lb</vt:lpstr>
      <vt:lpstr>STLBTFP_ub</vt:lpstr>
      <vt:lpstr>STLTF_lb</vt:lpstr>
      <vt:lpstr>STLTF_ub</vt:lpstr>
      <vt:lpstr>STR_lb</vt:lpstr>
      <vt:lpstr>STR_ub</vt:lpstr>
      <vt:lpstr>Tcap</vt:lpstr>
      <vt:lpstr>wAPH1</vt:lpstr>
      <vt:lpstr>wAPH2</vt:lpstr>
      <vt:lpstr>wAPH3</vt:lpstr>
      <vt:lpstr>wCACH1</vt:lpstr>
      <vt:lpstr>wCACH2</vt:lpstr>
      <vt:lpstr>wCACH3</vt:lpstr>
      <vt:lpstr>wCCH1</vt:lpstr>
      <vt:lpstr>wCCH2</vt:lpstr>
      <vt:lpstr>wCCH3</vt:lpstr>
      <vt:lpstr>wCCH4</vt:lpstr>
      <vt:lpstr>wCMH</vt:lpstr>
      <vt:lpstr>wGC</vt:lpstr>
      <vt:lpstr>wHT</vt:lpstr>
      <vt:lpstr>wMT</vt:lpstr>
      <vt:lpstr>wOLH1</vt:lpstr>
      <vt:lpstr>wOLH2</vt:lpstr>
      <vt:lpstr>wOLH3</vt:lpstr>
      <vt:lpstr>wOTH</vt:lpstr>
      <vt:lpstr>wPC</vt:lpstr>
      <vt:lpstr>wPT</vt:lpstr>
      <vt:lpstr>wRLH</vt:lpstr>
      <vt:lpstr>wRTH</vt:lpstr>
      <vt:lpstr>wTCH1</vt:lpstr>
      <vt:lpstr>wTCH2</vt:lpstr>
      <vt:lpstr>wTCH3</vt:lpstr>
      <vt:lpstr>wTCH4</vt:lpstr>
      <vt:lpstr>wTM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O'Donnell</dc:creator>
  <cp:lastModifiedBy>Carol Bell</cp:lastModifiedBy>
  <cp:lastPrinted>2019-10-21T23:23:57Z</cp:lastPrinted>
  <dcterms:created xsi:type="dcterms:W3CDTF">2019-04-17T08:46:28Z</dcterms:created>
  <dcterms:modified xsi:type="dcterms:W3CDTF">2020-12-23T04:32:06Z</dcterms:modified>
</cp:coreProperties>
</file>